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/>
  <mc:AlternateContent xmlns:mc="http://schemas.openxmlformats.org/markup-compatibility/2006">
    <mc:Choice Requires="x15">
      <x15ac:absPath xmlns:x15ac="http://schemas.microsoft.com/office/spreadsheetml/2010/11/ac" url="/Users/Francois/Documents/__World Gaming Federation/Financements/FRANCE/Levées/_Serie B/Fond Suisse/"/>
    </mc:Choice>
  </mc:AlternateContent>
  <xr:revisionPtr revIDLastSave="0" documentId="8_{DB6D806F-75EF-774B-AC50-5D7677535D93}" xr6:coauthVersionLast="45" xr6:coauthVersionMax="45" xr10:uidLastSave="{00000000-0000-0000-0000-000000000000}"/>
  <bookViews>
    <workbookView xWindow="-20" yWindow="460" windowWidth="28800" windowHeight="16580" tabRatio="629" xr2:uid="{00000000-000D-0000-FFFF-FFFF00000000}"/>
  </bookViews>
  <sheets>
    <sheet name="Cover Page" sheetId="5" r:id="rId1"/>
    <sheet name="Payroll 2020" sheetId="1" r:id="rId2"/>
    <sheet name="Payroll 2020-2024" sheetId="2" r:id="rId3"/>
    <sheet name="TURNOVER" sheetId="11" r:id="rId4"/>
    <sheet name="White label websites (WLW)" sheetId="15" r:id="rId5"/>
    <sheet name="WLW Side revenues" sheetId="30" r:id="rId6"/>
    <sheet name="Advertising" sheetId="16" r:id="rId7"/>
    <sheet name="Sponsoring marketplace" sheetId="17" r:id="rId8"/>
    <sheet name="Digital goods marketplace" sheetId="18" r:id="rId9"/>
    <sheet name="Media rights marketplace" sheetId="22" r:id="rId10"/>
    <sheet name="Titrisation" sheetId="29" r:id="rId11"/>
    <sheet name="Cash to digital" sheetId="31" r:id="rId12"/>
    <sheet name="Operating Expenses 2020" sheetId="13" r:id="rId13"/>
    <sheet name="Operating Expenses 2020-2024" sheetId="14" r:id="rId14"/>
    <sheet name="Income Statement 2020" sheetId="3" r:id="rId15"/>
    <sheet name="Income Statement 2020-2024" sheetId="4" r:id="rId16"/>
    <sheet name="Balance Sheet 2020" sheetId="6" r:id="rId17"/>
    <sheet name="Balance Sheet 2020-2024" sheetId="7" r:id="rId18"/>
    <sheet name="Cash Flow Statement 2020" sheetId="8" r:id="rId19"/>
    <sheet name="Cash Flow Statement 2020-2024" sheetId="9" r:id="rId20"/>
    <sheet name="WEBSITES AUDIENCE" sheetId="19" r:id="rId21"/>
    <sheet name="Financial Ratio Analysis" sheetId="10" r:id="rId22"/>
    <sheet name="KPI Dashboard" sheetId="28" r:id="rId23"/>
    <sheet name="KPI Tracking data" sheetId="27" r:id="rId24"/>
    <sheet name="Spending dashboard" sheetId="26" r:id="rId25"/>
    <sheet name="Spending tracking data" sheetId="25" r:id="rId26"/>
  </sheets>
  <definedNames>
    <definedName name="CIQWBGuid" hidden="1">"2cd8126d-26c3-430c-b7fa-a069e3a1fc62"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"10/01/2018 15:52:08"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'Cover Page'!$A$1:$P$29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6" i="16" l="1"/>
  <c r="F46" i="16"/>
  <c r="E46" i="16"/>
  <c r="D46" i="16"/>
  <c r="C46" i="16"/>
  <c r="G45" i="16"/>
  <c r="F45" i="16"/>
  <c r="E45" i="16"/>
  <c r="D45" i="16"/>
  <c r="C45" i="16"/>
  <c r="G44" i="16"/>
  <c r="F44" i="16"/>
  <c r="E44" i="16"/>
  <c r="D44" i="16"/>
  <c r="C44" i="16"/>
  <c r="G43" i="16"/>
  <c r="F43" i="16"/>
  <c r="E43" i="16"/>
  <c r="D43" i="16"/>
  <c r="C43" i="16"/>
  <c r="B46" i="16"/>
  <c r="B45" i="16"/>
  <c r="B44" i="16"/>
  <c r="B43" i="16"/>
  <c r="AM37" i="16"/>
  <c r="AN37" i="16"/>
  <c r="AO37" i="16"/>
  <c r="AP37" i="16"/>
  <c r="AQ37" i="16"/>
  <c r="AR37" i="16"/>
  <c r="AS37" i="16"/>
  <c r="AT37" i="16"/>
  <c r="AU37" i="16"/>
  <c r="AL37" i="16"/>
  <c r="AA37" i="16"/>
  <c r="AB37" i="16"/>
  <c r="AC37" i="16"/>
  <c r="AD37" i="16"/>
  <c r="AE37" i="16"/>
  <c r="AF37" i="16"/>
  <c r="AG37" i="16"/>
  <c r="AH37" i="16"/>
  <c r="AI37" i="16"/>
  <c r="AJ37" i="16"/>
  <c r="AK37" i="16"/>
  <c r="Z37" i="16"/>
  <c r="O37" i="16"/>
  <c r="P37" i="16"/>
  <c r="Q37" i="16"/>
  <c r="R37" i="16"/>
  <c r="S37" i="16"/>
  <c r="T37" i="16"/>
  <c r="U37" i="16"/>
  <c r="V37" i="16"/>
  <c r="W37" i="16"/>
  <c r="X37" i="16"/>
  <c r="Y37" i="16"/>
  <c r="N37" i="16"/>
  <c r="C37" i="16"/>
  <c r="D37" i="16"/>
  <c r="E37" i="16"/>
  <c r="F37" i="16"/>
  <c r="G37" i="16"/>
  <c r="H37" i="16"/>
  <c r="I37" i="16"/>
  <c r="J37" i="16"/>
  <c r="K37" i="16"/>
  <c r="L37" i="16"/>
  <c r="M37" i="16"/>
  <c r="B37" i="16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O18" i="8"/>
  <c r="C16" i="9"/>
  <c r="U18" i="19"/>
  <c r="V18" i="19"/>
  <c r="V20" i="19" s="1"/>
  <c r="W18" i="19"/>
  <c r="X18" i="19"/>
  <c r="X19" i="19" s="1"/>
  <c r="Y18" i="19"/>
  <c r="Z18" i="19"/>
  <c r="Z19" i="19" s="1"/>
  <c r="AA18" i="19"/>
  <c r="AB18" i="19"/>
  <c r="AC18" i="19"/>
  <c r="AD18" i="19"/>
  <c r="AD20" i="19" s="1"/>
  <c r="AE18" i="19"/>
  <c r="AF18" i="19"/>
  <c r="AF19" i="19" s="1"/>
  <c r="AG18" i="19"/>
  <c r="AH18" i="19"/>
  <c r="AI18" i="19"/>
  <c r="AJ18" i="19"/>
  <c r="AK18" i="19"/>
  <c r="AL18" i="19"/>
  <c r="AL19" i="19" s="1"/>
  <c r="AM18" i="19"/>
  <c r="AN18" i="19"/>
  <c r="AO18" i="19"/>
  <c r="AP18" i="19"/>
  <c r="AQ18" i="19"/>
  <c r="AR18" i="19"/>
  <c r="AS18" i="19"/>
  <c r="AT18" i="19"/>
  <c r="AT20" i="19" s="1"/>
  <c r="AU18" i="19"/>
  <c r="AU20" i="19" s="1"/>
  <c r="AV18" i="19"/>
  <c r="AV19" i="19" s="1"/>
  <c r="AW18" i="19"/>
  <c r="AX18" i="19"/>
  <c r="AX19" i="19" s="1"/>
  <c r="AY18" i="19"/>
  <c r="AZ18" i="19"/>
  <c r="BA18" i="19"/>
  <c r="BB18" i="19"/>
  <c r="BB20" i="19" s="1"/>
  <c r="BC18" i="19"/>
  <c r="BD18" i="19"/>
  <c r="BE18" i="19"/>
  <c r="BF18" i="19"/>
  <c r="BF19" i="19" s="1"/>
  <c r="BG18" i="19"/>
  <c r="BH18" i="19"/>
  <c r="BI18" i="19"/>
  <c r="U19" i="19"/>
  <c r="V19" i="19"/>
  <c r="Y19" i="19"/>
  <c r="AC19" i="19"/>
  <c r="AD19" i="19"/>
  <c r="AD26" i="19" s="1"/>
  <c r="AG19" i="19"/>
  <c r="AK19" i="19"/>
  <c r="AO19" i="19"/>
  <c r="AP19" i="19"/>
  <c r="AS19" i="19"/>
  <c r="AS26" i="19" s="1"/>
  <c r="AT19" i="19"/>
  <c r="AT26" i="19" s="1"/>
  <c r="AW19" i="19"/>
  <c r="BA19" i="19"/>
  <c r="BB19" i="19"/>
  <c r="BE19" i="19"/>
  <c r="BI19" i="19"/>
  <c r="U20" i="19"/>
  <c r="Y20" i="19"/>
  <c r="AC20" i="19"/>
  <c r="AG20" i="19"/>
  <c r="AK20" i="19"/>
  <c r="AL20" i="19"/>
  <c r="AL26" i="19" s="1"/>
  <c r="AO20" i="19"/>
  <c r="AP20" i="19"/>
  <c r="AS20" i="19"/>
  <c r="AW20" i="19"/>
  <c r="AX20" i="19"/>
  <c r="AX26" i="19" s="1"/>
  <c r="BA20" i="19"/>
  <c r="BE20" i="19"/>
  <c r="BF20" i="19"/>
  <c r="BI20" i="19"/>
  <c r="M18" i="19"/>
  <c r="N18" i="19"/>
  <c r="N20" i="19" s="1"/>
  <c r="O18" i="19"/>
  <c r="O19" i="19" s="1"/>
  <c r="P18" i="19"/>
  <c r="Q18" i="19"/>
  <c r="Q19" i="19" s="1"/>
  <c r="R18" i="19"/>
  <c r="R20" i="19" s="1"/>
  <c r="S18" i="19"/>
  <c r="S20" i="19" s="1"/>
  <c r="T18" i="19"/>
  <c r="T20" i="19" s="1"/>
  <c r="I32" i="13"/>
  <c r="Y26" i="19" l="1"/>
  <c r="AF20" i="19"/>
  <c r="AF26" i="19" s="1"/>
  <c r="X20" i="19"/>
  <c r="S19" i="19"/>
  <c r="S26" i="19" s="1"/>
  <c r="Z20" i="19"/>
  <c r="X26" i="19"/>
  <c r="BI26" i="19"/>
  <c r="BE26" i="19"/>
  <c r="AU19" i="19"/>
  <c r="AU26" i="19" s="1"/>
  <c r="AO26" i="19"/>
  <c r="P20" i="19"/>
  <c r="P19" i="19"/>
  <c r="P26" i="19" s="1"/>
  <c r="BH19" i="19"/>
  <c r="BH26" i="19" s="1"/>
  <c r="BH20" i="19"/>
  <c r="T19" i="19"/>
  <c r="T26" i="19" s="1"/>
  <c r="BB26" i="19"/>
  <c r="AV20" i="19"/>
  <c r="AV26" i="19" s="1"/>
  <c r="BG20" i="19"/>
  <c r="BG19" i="19"/>
  <c r="BG26" i="19" s="1"/>
  <c r="AQ20" i="19"/>
  <c r="AQ19" i="19"/>
  <c r="AI20" i="19"/>
  <c r="AI19" i="19"/>
  <c r="AI26" i="19" s="1"/>
  <c r="AA20" i="19"/>
  <c r="AA19" i="19"/>
  <c r="N19" i="19"/>
  <c r="N26" i="19" s="1"/>
  <c r="AG26" i="19"/>
  <c r="AW26" i="19"/>
  <c r="Q20" i="19"/>
  <c r="Q26" i="19" s="1"/>
  <c r="R19" i="19"/>
  <c r="R26" i="19" s="1"/>
  <c r="BD19" i="19"/>
  <c r="BD20" i="19"/>
  <c r="AZ19" i="19"/>
  <c r="AZ20" i="19"/>
  <c r="AR19" i="19"/>
  <c r="AR20" i="19"/>
  <c r="AN19" i="19"/>
  <c r="AN20" i="19"/>
  <c r="AJ19" i="19"/>
  <c r="AJ20" i="19"/>
  <c r="AB19" i="19"/>
  <c r="AB20" i="19"/>
  <c r="O20" i="19"/>
  <c r="O26" i="19" s="1"/>
  <c r="AY20" i="19"/>
  <c r="AY19" i="19"/>
  <c r="AE20" i="19"/>
  <c r="AE19" i="19"/>
  <c r="AK26" i="19"/>
  <c r="AC26" i="19"/>
  <c r="BF26" i="19"/>
  <c r="AH19" i="19"/>
  <c r="AH20" i="19"/>
  <c r="AH26" i="19" s="1"/>
  <c r="V26" i="19"/>
  <c r="AP26" i="19"/>
  <c r="BC20" i="19"/>
  <c r="BC19" i="19"/>
  <c r="AM20" i="19"/>
  <c r="AM19" i="19"/>
  <c r="W20" i="19"/>
  <c r="W19" i="19"/>
  <c r="BA26" i="19"/>
  <c r="U26" i="19"/>
  <c r="Z26" i="19"/>
  <c r="O16" i="8"/>
  <c r="D14" i="8"/>
  <c r="D17" i="8"/>
  <c r="F17" i="6"/>
  <c r="I38" i="13"/>
  <c r="H38" i="13"/>
  <c r="I36" i="13"/>
  <c r="C36" i="13"/>
  <c r="C35" i="13"/>
  <c r="C33" i="13"/>
  <c r="D33" i="13"/>
  <c r="E33" i="13"/>
  <c r="O15" i="8"/>
  <c r="F15" i="8"/>
  <c r="AE26" i="19" l="1"/>
  <c r="AR26" i="19"/>
  <c r="BD26" i="19"/>
  <c r="AY26" i="19"/>
  <c r="AB26" i="19"/>
  <c r="AA26" i="19"/>
  <c r="AQ26" i="19"/>
  <c r="AN26" i="19"/>
  <c r="AZ26" i="19"/>
  <c r="AM26" i="19"/>
  <c r="AJ26" i="19"/>
  <c r="W26" i="19"/>
  <c r="BC26" i="19"/>
  <c r="F51" i="11"/>
  <c r="G51" i="11"/>
  <c r="J51" i="11"/>
  <c r="K51" i="11"/>
  <c r="N51" i="11"/>
  <c r="O51" i="11"/>
  <c r="R51" i="11"/>
  <c r="S51" i="11"/>
  <c r="C51" i="11"/>
  <c r="B73" i="11"/>
  <c r="B62" i="11"/>
  <c r="B51" i="11"/>
  <c r="D51" i="11" s="1"/>
  <c r="H38" i="11"/>
  <c r="A33" i="11" s="1"/>
  <c r="A41" i="31"/>
  <c r="A42" i="31"/>
  <c r="A43" i="31"/>
  <c r="A44" i="31"/>
  <c r="A45" i="31"/>
  <c r="A40" i="31"/>
  <c r="A36" i="31"/>
  <c r="B35" i="31"/>
  <c r="B39" i="31" s="1"/>
  <c r="B48" i="31" s="1"/>
  <c r="K5" i="31"/>
  <c r="K4" i="31"/>
  <c r="D6" i="31"/>
  <c r="D5" i="31"/>
  <c r="A62" i="11" l="1"/>
  <c r="A73" i="11" s="1"/>
  <c r="A85" i="11" s="1"/>
  <c r="A97" i="11" s="1"/>
  <c r="A22" i="11"/>
  <c r="Q51" i="11"/>
  <c r="M51" i="11"/>
  <c r="I51" i="11"/>
  <c r="E51" i="11"/>
  <c r="A11" i="11"/>
  <c r="A51" i="11"/>
  <c r="P51" i="11"/>
  <c r="L51" i="11"/>
  <c r="H51" i="11"/>
  <c r="B11" i="11" l="1"/>
  <c r="I39" i="11" l="1"/>
  <c r="B59" i="31" l="1"/>
  <c r="C59" i="31" s="1"/>
  <c r="B55" i="31"/>
  <c r="C55" i="31" s="1"/>
  <c r="C35" i="31" s="1"/>
  <c r="C39" i="31" s="1"/>
  <c r="C48" i="31" s="1"/>
  <c r="B51" i="31"/>
  <c r="C19" i="31"/>
  <c r="B17" i="31"/>
  <c r="B18" i="31" s="1"/>
  <c r="B20" i="31" s="1"/>
  <c r="I22" i="31" s="1"/>
  <c r="C16" i="31"/>
  <c r="I13" i="31"/>
  <c r="B13" i="31"/>
  <c r="D12" i="31"/>
  <c r="D11" i="31"/>
  <c r="K10" i="31"/>
  <c r="D10" i="31"/>
  <c r="K9" i="31"/>
  <c r="D9" i="31"/>
  <c r="K7" i="31"/>
  <c r="D7" i="31"/>
  <c r="K6" i="31"/>
  <c r="D4" i="31"/>
  <c r="K13" i="31" l="1"/>
  <c r="D59" i="31"/>
  <c r="D13" i="31"/>
  <c r="C51" i="31"/>
  <c r="I56" i="31"/>
  <c r="H56" i="31"/>
  <c r="D55" i="31"/>
  <c r="C64" i="31"/>
  <c r="C70" i="31" s="1"/>
  <c r="B64" i="31"/>
  <c r="B70" i="31" s="1"/>
  <c r="K28" i="5"/>
  <c r="K27" i="5"/>
  <c r="K26" i="5"/>
  <c r="K25" i="5"/>
  <c r="H26" i="5"/>
  <c r="H25" i="5"/>
  <c r="E26" i="5"/>
  <c r="E25" i="5"/>
  <c r="C26" i="5"/>
  <c r="C25" i="5"/>
  <c r="K15" i="5"/>
  <c r="K14" i="5"/>
  <c r="H15" i="5"/>
  <c r="H14" i="5"/>
  <c r="E21" i="5"/>
  <c r="E20" i="5"/>
  <c r="E19" i="5"/>
  <c r="E18" i="5"/>
  <c r="E17" i="5"/>
  <c r="E16" i="5"/>
  <c r="E15" i="5"/>
  <c r="E14" i="5"/>
  <c r="C15" i="5"/>
  <c r="C14" i="5"/>
  <c r="E569" i="1"/>
  <c r="E570" i="1"/>
  <c r="E479" i="1"/>
  <c r="E424" i="1"/>
  <c r="E469" i="1" s="1"/>
  <c r="E514" i="1" s="1"/>
  <c r="E559" i="1" s="1"/>
  <c r="E425" i="1"/>
  <c r="E428" i="1" s="1"/>
  <c r="E473" i="1" s="1"/>
  <c r="E518" i="1" s="1"/>
  <c r="E522" i="1" s="1"/>
  <c r="E567" i="1" s="1"/>
  <c r="E380" i="1"/>
  <c r="E381" i="1"/>
  <c r="E382" i="1" s="1"/>
  <c r="E427" i="1" s="1"/>
  <c r="E472" i="1" s="1"/>
  <c r="E517" i="1" s="1"/>
  <c r="E562" i="1" s="1"/>
  <c r="E379" i="1"/>
  <c r="I127" i="1"/>
  <c r="I172" i="1" s="1"/>
  <c r="I217" i="1" s="1"/>
  <c r="I262" i="1" s="1"/>
  <c r="I307" i="1" s="1"/>
  <c r="I352" i="1" s="1"/>
  <c r="I397" i="1" s="1"/>
  <c r="I442" i="1" s="1"/>
  <c r="I487" i="1" s="1"/>
  <c r="I532" i="1" s="1"/>
  <c r="H127" i="1"/>
  <c r="H172" i="1" s="1"/>
  <c r="H217" i="1" s="1"/>
  <c r="H262" i="1" s="1"/>
  <c r="H307" i="1" s="1"/>
  <c r="H352" i="1" s="1"/>
  <c r="H397" i="1" s="1"/>
  <c r="H442" i="1" s="1"/>
  <c r="H487" i="1" s="1"/>
  <c r="H532" i="1" s="1"/>
  <c r="I82" i="1"/>
  <c r="J82" i="1"/>
  <c r="J127" i="1" s="1"/>
  <c r="J172" i="1" s="1"/>
  <c r="J217" i="1" s="1"/>
  <c r="J262" i="1" s="1"/>
  <c r="J307" i="1" s="1"/>
  <c r="J352" i="1" s="1"/>
  <c r="J397" i="1" s="1"/>
  <c r="J442" i="1" s="1"/>
  <c r="J487" i="1" s="1"/>
  <c r="J532" i="1" s="1"/>
  <c r="H82" i="1"/>
  <c r="J37" i="1"/>
  <c r="I37" i="1"/>
  <c r="H37" i="1"/>
  <c r="B30" i="1"/>
  <c r="B29" i="1"/>
  <c r="I70" i="29"/>
  <c r="H70" i="29"/>
  <c r="I72" i="22"/>
  <c r="H72" i="22"/>
  <c r="G72" i="22"/>
  <c r="I56" i="18"/>
  <c r="H56" i="18"/>
  <c r="G56" i="18"/>
  <c r="F56" i="18"/>
  <c r="E56" i="18"/>
  <c r="A5" i="11"/>
  <c r="H8" i="11" s="1"/>
  <c r="I12" i="30"/>
  <c r="A60" i="30"/>
  <c r="A48" i="30"/>
  <c r="A51" i="30"/>
  <c r="A54" i="30" s="1"/>
  <c r="A57" i="30" s="1"/>
  <c r="A50" i="30"/>
  <c r="A53" i="30" s="1"/>
  <c r="A56" i="30" s="1"/>
  <c r="I9" i="30"/>
  <c r="K7" i="30"/>
  <c r="I16" i="30" s="1"/>
  <c r="B16" i="30"/>
  <c r="A39" i="30"/>
  <c r="A42" i="30" s="1"/>
  <c r="A45" i="30" s="1"/>
  <c r="A38" i="30"/>
  <c r="A41" i="30" s="1"/>
  <c r="A44" i="30" s="1"/>
  <c r="A36" i="30"/>
  <c r="A33" i="30"/>
  <c r="C24" i="30"/>
  <c r="C62" i="30" s="1"/>
  <c r="C63" i="30" s="1"/>
  <c r="C64" i="30" s="1"/>
  <c r="D24" i="30"/>
  <c r="D62" i="30" s="1"/>
  <c r="D63" i="30" s="1"/>
  <c r="D64" i="30" s="1"/>
  <c r="E24" i="30"/>
  <c r="E27" i="30" s="1"/>
  <c r="F24" i="30"/>
  <c r="F27" i="30" s="1"/>
  <c r="C25" i="30"/>
  <c r="C28" i="30" s="1"/>
  <c r="C31" i="30" s="1"/>
  <c r="D25" i="30"/>
  <c r="E25" i="30"/>
  <c r="E28" i="30" s="1"/>
  <c r="E31" i="30" s="1"/>
  <c r="F25" i="30"/>
  <c r="C26" i="30"/>
  <c r="C29" i="30" s="1"/>
  <c r="C32" i="30" s="1"/>
  <c r="D26" i="30"/>
  <c r="E26" i="30"/>
  <c r="E29" i="30" s="1"/>
  <c r="E32" i="30" s="1"/>
  <c r="F26" i="30"/>
  <c r="F29" i="30" s="1"/>
  <c r="F32" i="30" s="1"/>
  <c r="B25" i="30"/>
  <c r="B28" i="30" s="1"/>
  <c r="B31" i="30" s="1"/>
  <c r="B26" i="30"/>
  <c r="B29" i="30" s="1"/>
  <c r="B32" i="30" s="1"/>
  <c r="B24" i="30"/>
  <c r="B27" i="30" s="1"/>
  <c r="BB148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W54" i="15" s="1"/>
  <c r="AW148" i="15" s="1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O54" i="15"/>
  <c r="O148" i="15" s="1"/>
  <c r="P54" i="15"/>
  <c r="P148" i="15" s="1"/>
  <c r="Q54" i="15"/>
  <c r="Q148" i="15" s="1"/>
  <c r="R54" i="15"/>
  <c r="R148" i="15" s="1"/>
  <c r="S54" i="15"/>
  <c r="S148" i="15" s="1"/>
  <c r="T54" i="15"/>
  <c r="T148" i="15" s="1"/>
  <c r="U54" i="15"/>
  <c r="U148" i="15" s="1"/>
  <c r="V54" i="15"/>
  <c r="V148" i="15" s="1"/>
  <c r="W54" i="15"/>
  <c r="W148" i="15" s="1"/>
  <c r="X54" i="15"/>
  <c r="X148" i="15" s="1"/>
  <c r="Y54" i="15"/>
  <c r="Y148" i="15" s="1"/>
  <c r="Z54" i="15"/>
  <c r="Z148" i="15" s="1"/>
  <c r="AA54" i="15"/>
  <c r="AA148" i="15" s="1"/>
  <c r="AB54" i="15"/>
  <c r="AB148" i="15" s="1"/>
  <c r="AC54" i="15"/>
  <c r="AC148" i="15" s="1"/>
  <c r="AD54" i="15"/>
  <c r="AD148" i="15" s="1"/>
  <c r="AE54" i="15"/>
  <c r="AE148" i="15" s="1"/>
  <c r="AF54" i="15"/>
  <c r="AF148" i="15" s="1"/>
  <c r="AG54" i="15"/>
  <c r="AG148" i="15" s="1"/>
  <c r="AH54" i="15"/>
  <c r="AH148" i="15" s="1"/>
  <c r="AI54" i="15"/>
  <c r="AI148" i="15" s="1"/>
  <c r="AJ54" i="15"/>
  <c r="AJ148" i="15" s="1"/>
  <c r="AK54" i="15"/>
  <c r="AK148" i="15" s="1"/>
  <c r="AL54" i="15"/>
  <c r="AL148" i="15" s="1"/>
  <c r="AM54" i="15"/>
  <c r="AM148" i="15" s="1"/>
  <c r="AN54" i="15"/>
  <c r="AN148" i="15" s="1"/>
  <c r="AO54" i="15"/>
  <c r="AO148" i="15" s="1"/>
  <c r="AP54" i="15"/>
  <c r="AP148" i="15" s="1"/>
  <c r="AQ54" i="15"/>
  <c r="AQ148" i="15" s="1"/>
  <c r="AR54" i="15"/>
  <c r="AR148" i="15" s="1"/>
  <c r="AS54" i="15"/>
  <c r="AS148" i="15" s="1"/>
  <c r="AT54" i="15"/>
  <c r="AT148" i="15" s="1"/>
  <c r="AU54" i="15"/>
  <c r="AU148" i="15" s="1"/>
  <c r="AV54" i="15"/>
  <c r="AV148" i="15" s="1"/>
  <c r="AX54" i="15"/>
  <c r="AX148" i="15" s="1"/>
  <c r="AY54" i="15"/>
  <c r="AY148" i="15" s="1"/>
  <c r="AZ54" i="15"/>
  <c r="AZ148" i="15" s="1"/>
  <c r="BA54" i="15"/>
  <c r="BA148" i="15" s="1"/>
  <c r="BB54" i="15"/>
  <c r="BC54" i="15"/>
  <c r="BC148" i="15" s="1"/>
  <c r="BD54" i="15"/>
  <c r="BD148" i="15" s="1"/>
  <c r="BE54" i="15"/>
  <c r="BE148" i="15" s="1"/>
  <c r="BF54" i="15"/>
  <c r="BF148" i="15" s="1"/>
  <c r="BG54" i="15"/>
  <c r="BG148" i="15" s="1"/>
  <c r="BH54" i="15"/>
  <c r="BH148" i="15" s="1"/>
  <c r="BI54" i="15"/>
  <c r="BI148" i="15" s="1"/>
  <c r="BJ54" i="15"/>
  <c r="BJ148" i="15" s="1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C23" i="30"/>
  <c r="C36" i="30" s="1"/>
  <c r="C48" i="30" s="1"/>
  <c r="D23" i="30"/>
  <c r="D36" i="30" s="1"/>
  <c r="D48" i="30" s="1"/>
  <c r="E23" i="30"/>
  <c r="E36" i="30" s="1"/>
  <c r="E60" i="30" s="1"/>
  <c r="F23" i="30"/>
  <c r="F36" i="30" s="1"/>
  <c r="F48" i="30" s="1"/>
  <c r="G23" i="30"/>
  <c r="G36" i="30" s="1"/>
  <c r="G48" i="30" s="1"/>
  <c r="H23" i="30"/>
  <c r="H36" i="30" s="1"/>
  <c r="H48" i="30" s="1"/>
  <c r="I23" i="30"/>
  <c r="I36" i="30" s="1"/>
  <c r="I60" i="30" s="1"/>
  <c r="J23" i="30"/>
  <c r="J36" i="30" s="1"/>
  <c r="J48" i="30" s="1"/>
  <c r="K23" i="30"/>
  <c r="K36" i="30" s="1"/>
  <c r="K48" i="30" s="1"/>
  <c r="L23" i="30"/>
  <c r="L36" i="30" s="1"/>
  <c r="L48" i="30" s="1"/>
  <c r="M23" i="30"/>
  <c r="N23" i="30" s="1"/>
  <c r="O23" i="30" s="1"/>
  <c r="P23" i="30" s="1"/>
  <c r="Q23" i="30" s="1"/>
  <c r="R23" i="30" s="1"/>
  <c r="S23" i="30" s="1"/>
  <c r="T23" i="30" s="1"/>
  <c r="U23" i="30" s="1"/>
  <c r="V23" i="30" s="1"/>
  <c r="W23" i="30" s="1"/>
  <c r="X23" i="30" s="1"/>
  <c r="Y23" i="30" s="1"/>
  <c r="Z23" i="30" s="1"/>
  <c r="AA23" i="30" s="1"/>
  <c r="AB23" i="30" s="1"/>
  <c r="AC23" i="30" s="1"/>
  <c r="AD23" i="30" s="1"/>
  <c r="AE23" i="30" s="1"/>
  <c r="AF23" i="30" s="1"/>
  <c r="AG23" i="30" s="1"/>
  <c r="AH23" i="30" s="1"/>
  <c r="AI23" i="30" s="1"/>
  <c r="AJ23" i="30" s="1"/>
  <c r="AK23" i="30" s="1"/>
  <c r="AL23" i="30" s="1"/>
  <c r="AM23" i="30" s="1"/>
  <c r="AN23" i="30" s="1"/>
  <c r="AO23" i="30" s="1"/>
  <c r="AP23" i="30" s="1"/>
  <c r="AQ23" i="30" s="1"/>
  <c r="AR23" i="30" s="1"/>
  <c r="AS23" i="30" s="1"/>
  <c r="AT23" i="30" s="1"/>
  <c r="AU23" i="30" s="1"/>
  <c r="AV23" i="30" s="1"/>
  <c r="AW23" i="30" s="1"/>
  <c r="AX23" i="30" s="1"/>
  <c r="AY23" i="30" s="1"/>
  <c r="AZ23" i="30" s="1"/>
  <c r="BA23" i="30" s="1"/>
  <c r="BB23" i="30" s="1"/>
  <c r="BC23" i="30" s="1"/>
  <c r="BD23" i="30" s="1"/>
  <c r="BE23" i="30" s="1"/>
  <c r="BF23" i="30" s="1"/>
  <c r="BG23" i="30" s="1"/>
  <c r="BH23" i="30" s="1"/>
  <c r="BI23" i="30" s="1"/>
  <c r="BI36" i="30" s="1"/>
  <c r="BI60" i="30" s="1"/>
  <c r="B23" i="30"/>
  <c r="B36" i="30" s="1"/>
  <c r="B48" i="30" s="1"/>
  <c r="A23" i="30"/>
  <c r="F434" i="1"/>
  <c r="G434" i="1" s="1"/>
  <c r="F435" i="1"/>
  <c r="G435" i="1" s="1"/>
  <c r="J435" i="1"/>
  <c r="K435" i="1"/>
  <c r="M435" i="1"/>
  <c r="F480" i="1"/>
  <c r="G480" i="1" s="1"/>
  <c r="F479" i="1"/>
  <c r="F525" i="1"/>
  <c r="G525" i="1" s="1"/>
  <c r="F524" i="1"/>
  <c r="G524" i="1" s="1"/>
  <c r="C6" i="2"/>
  <c r="G479" i="1" l="1"/>
  <c r="K479" i="1" s="1"/>
  <c r="E426" i="1"/>
  <c r="E470" i="1"/>
  <c r="E515" i="1" s="1"/>
  <c r="E560" i="1" s="1"/>
  <c r="E59" i="31"/>
  <c r="E56" i="31"/>
  <c r="G56" i="31"/>
  <c r="F56" i="31"/>
  <c r="D56" i="31"/>
  <c r="E55" i="31"/>
  <c r="D64" i="31"/>
  <c r="D70" i="31" s="1"/>
  <c r="D35" i="31"/>
  <c r="D39" i="31" s="1"/>
  <c r="D48" i="31" s="1"/>
  <c r="E563" i="1"/>
  <c r="E429" i="1"/>
  <c r="E474" i="1" s="1"/>
  <c r="E519" i="1" s="1"/>
  <c r="E564" i="1" s="1"/>
  <c r="A16" i="11"/>
  <c r="A27" i="11" s="1"/>
  <c r="A45" i="11" s="1"/>
  <c r="A56" i="11" s="1"/>
  <c r="A67" i="11" s="1"/>
  <c r="A79" i="11" s="1"/>
  <c r="A91" i="11" s="1"/>
  <c r="E68" i="30"/>
  <c r="E69" i="30" s="1"/>
  <c r="E70" i="30" s="1"/>
  <c r="F68" i="30"/>
  <c r="F69" i="30" s="1"/>
  <c r="F71" i="30" s="1"/>
  <c r="D68" i="30"/>
  <c r="D69" i="30" s="1"/>
  <c r="D70" i="30" s="1"/>
  <c r="B68" i="30"/>
  <c r="B69" i="30" s="1"/>
  <c r="B71" i="30" s="1"/>
  <c r="C68" i="30"/>
  <c r="C69" i="30" s="1"/>
  <c r="C70" i="30" s="1"/>
  <c r="D66" i="30"/>
  <c r="D65" i="30"/>
  <c r="C65" i="30"/>
  <c r="C66" i="30"/>
  <c r="E62" i="30"/>
  <c r="E63" i="30" s="1"/>
  <c r="E64" i="30" s="1"/>
  <c r="B62" i="30"/>
  <c r="B63" i="30" s="1"/>
  <c r="B64" i="30" s="1"/>
  <c r="F62" i="30"/>
  <c r="F63" i="30" s="1"/>
  <c r="F64" i="30" s="1"/>
  <c r="L60" i="30"/>
  <c r="BI48" i="30"/>
  <c r="H60" i="30"/>
  <c r="I48" i="30"/>
  <c r="D60" i="30"/>
  <c r="E48" i="30"/>
  <c r="K60" i="30"/>
  <c r="G60" i="30"/>
  <c r="C60" i="30"/>
  <c r="B60" i="30"/>
  <c r="J60" i="30"/>
  <c r="F60" i="30"/>
  <c r="E51" i="30"/>
  <c r="E54" i="30" s="1"/>
  <c r="E57" i="30" s="1"/>
  <c r="B51" i="30"/>
  <c r="B54" i="30" s="1"/>
  <c r="B57" i="30" s="1"/>
  <c r="F51" i="30"/>
  <c r="F54" i="30" s="1"/>
  <c r="F57" i="30" s="1"/>
  <c r="D27" i="30"/>
  <c r="D51" i="30"/>
  <c r="D54" i="30" s="1"/>
  <c r="D57" i="30" s="1"/>
  <c r="D50" i="30"/>
  <c r="C27" i="30"/>
  <c r="C50" i="30"/>
  <c r="C53" i="30" s="1"/>
  <c r="C56" i="30" s="1"/>
  <c r="F50" i="30"/>
  <c r="B50" i="30"/>
  <c r="C51" i="30"/>
  <c r="E50" i="30"/>
  <c r="E53" i="30" s="1"/>
  <c r="E56" i="30" s="1"/>
  <c r="E38" i="30"/>
  <c r="E41" i="30" s="1"/>
  <c r="E44" i="30" s="1"/>
  <c r="F39" i="30"/>
  <c r="F42" i="30" s="1"/>
  <c r="F45" i="30" s="1"/>
  <c r="B38" i="30"/>
  <c r="B41" i="30" s="1"/>
  <c r="B44" i="30" s="1"/>
  <c r="C39" i="30"/>
  <c r="C42" i="30" s="1"/>
  <c r="C45" i="30" s="1"/>
  <c r="F28" i="30"/>
  <c r="F31" i="30" s="1"/>
  <c r="F30" i="30" s="1"/>
  <c r="F38" i="30"/>
  <c r="B39" i="30"/>
  <c r="B42" i="30" s="1"/>
  <c r="B45" i="30" s="1"/>
  <c r="D29" i="30"/>
  <c r="D32" i="30" s="1"/>
  <c r="D39" i="30"/>
  <c r="D42" i="30" s="1"/>
  <c r="D28" i="30"/>
  <c r="D31" i="30" s="1"/>
  <c r="D38" i="30"/>
  <c r="E39" i="30"/>
  <c r="C38" i="30"/>
  <c r="AK36" i="30"/>
  <c r="U36" i="30"/>
  <c r="Y36" i="30"/>
  <c r="AG36" i="30"/>
  <c r="Q36" i="30"/>
  <c r="AC36" i="30"/>
  <c r="M36" i="30"/>
  <c r="BH36" i="30"/>
  <c r="BD36" i="30"/>
  <c r="AZ36" i="30"/>
  <c r="AV36" i="30"/>
  <c r="AR36" i="30"/>
  <c r="AN36" i="30"/>
  <c r="AJ36" i="30"/>
  <c r="AF36" i="30"/>
  <c r="AB36" i="30"/>
  <c r="X36" i="30"/>
  <c r="T36" i="30"/>
  <c r="P36" i="30"/>
  <c r="BE36" i="30"/>
  <c r="AW36" i="30"/>
  <c r="AO36" i="30"/>
  <c r="BG36" i="30"/>
  <c r="BC36" i="30"/>
  <c r="AY36" i="30"/>
  <c r="AU36" i="30"/>
  <c r="AQ36" i="30"/>
  <c r="AM36" i="30"/>
  <c r="AI36" i="30"/>
  <c r="AE36" i="30"/>
  <c r="AA36" i="30"/>
  <c r="W36" i="30"/>
  <c r="S36" i="30"/>
  <c r="O36" i="30"/>
  <c r="BA36" i="30"/>
  <c r="AS36" i="30"/>
  <c r="BF36" i="30"/>
  <c r="BB36" i="30"/>
  <c r="AX36" i="30"/>
  <c r="AT36" i="30"/>
  <c r="AP36" i="30"/>
  <c r="AL36" i="30"/>
  <c r="AH36" i="30"/>
  <c r="AD36" i="30"/>
  <c r="Z36" i="30"/>
  <c r="V36" i="30"/>
  <c r="R36" i="30"/>
  <c r="N36" i="30"/>
  <c r="E30" i="30"/>
  <c r="E34" i="30" s="1"/>
  <c r="E79" i="30" s="1"/>
  <c r="B30" i="30"/>
  <c r="C30" i="30"/>
  <c r="K434" i="1"/>
  <c r="K480" i="1"/>
  <c r="K524" i="1"/>
  <c r="K525" i="1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AV11" i="25"/>
  <c r="AW11" i="25"/>
  <c r="AX11" i="25"/>
  <c r="AY11" i="25"/>
  <c r="AZ11" i="25"/>
  <c r="BA11" i="25"/>
  <c r="BB11" i="25"/>
  <c r="BC11" i="25"/>
  <c r="BD11" i="25"/>
  <c r="BE11" i="25"/>
  <c r="BF11" i="25"/>
  <c r="BG11" i="25"/>
  <c r="BH11" i="25"/>
  <c r="BI11" i="25"/>
  <c r="BJ11" i="25"/>
  <c r="BK11" i="25"/>
  <c r="BL11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AU12" i="25"/>
  <c r="AV12" i="25"/>
  <c r="AW12" i="25"/>
  <c r="AX12" i="25"/>
  <c r="AY12" i="25"/>
  <c r="AZ12" i="25"/>
  <c r="BA12" i="25"/>
  <c r="BB12" i="25"/>
  <c r="BC12" i="25"/>
  <c r="BD12" i="25"/>
  <c r="BE12" i="25"/>
  <c r="BF12" i="25"/>
  <c r="BG12" i="25"/>
  <c r="BH12" i="25"/>
  <c r="BI12" i="25"/>
  <c r="BJ12" i="25"/>
  <c r="BK12" i="25"/>
  <c r="BL12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AU13" i="25"/>
  <c r="AV13" i="25"/>
  <c r="AW13" i="25"/>
  <c r="AX13" i="25"/>
  <c r="AY13" i="25"/>
  <c r="AZ13" i="25"/>
  <c r="BA13" i="25"/>
  <c r="BB13" i="25"/>
  <c r="BC13" i="25"/>
  <c r="BD13" i="25"/>
  <c r="BE13" i="25"/>
  <c r="BF13" i="25"/>
  <c r="BG13" i="25"/>
  <c r="BH13" i="25"/>
  <c r="BI13" i="25"/>
  <c r="BJ13" i="25"/>
  <c r="BK13" i="25"/>
  <c r="BL13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AU14" i="25"/>
  <c r="AV14" i="25"/>
  <c r="AW14" i="25"/>
  <c r="AX14" i="25"/>
  <c r="AY14" i="25"/>
  <c r="AZ14" i="25"/>
  <c r="BA14" i="25"/>
  <c r="BB14" i="25"/>
  <c r="BC14" i="25"/>
  <c r="BD14" i="25"/>
  <c r="BE14" i="25"/>
  <c r="BF14" i="25"/>
  <c r="BG14" i="25"/>
  <c r="BH14" i="25"/>
  <c r="BI14" i="25"/>
  <c r="BJ14" i="25"/>
  <c r="BK14" i="25"/>
  <c r="BL14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AF7" i="25"/>
  <c r="AG7" i="25"/>
  <c r="AH7" i="25"/>
  <c r="AI7" i="25"/>
  <c r="AJ7" i="25"/>
  <c r="AK7" i="25"/>
  <c r="AL7" i="25"/>
  <c r="AM7" i="25"/>
  <c r="AN7" i="25"/>
  <c r="AO7" i="25"/>
  <c r="AP7" i="25"/>
  <c r="AQ7" i="25"/>
  <c r="AR7" i="25"/>
  <c r="AS7" i="25"/>
  <c r="AT7" i="25"/>
  <c r="AU7" i="25"/>
  <c r="AV7" i="25"/>
  <c r="AW7" i="25"/>
  <c r="AX7" i="25"/>
  <c r="AY7" i="25"/>
  <c r="AZ7" i="25"/>
  <c r="BA7" i="25"/>
  <c r="BB7" i="25"/>
  <c r="BC7" i="25"/>
  <c r="BD7" i="25"/>
  <c r="BE7" i="25"/>
  <c r="BF7" i="25"/>
  <c r="BG7" i="25"/>
  <c r="BH7" i="25"/>
  <c r="BI7" i="25"/>
  <c r="BJ7" i="25"/>
  <c r="BK7" i="25"/>
  <c r="BL7" i="25"/>
  <c r="E7" i="25"/>
  <c r="B86" i="26" a="1"/>
  <c r="B86" i="26" s="1"/>
  <c r="A86" i="26" a="1"/>
  <c r="A86" i="26" s="1"/>
  <c r="B69" i="26" a="1"/>
  <c r="B69" i="26" s="1"/>
  <c r="A69" i="26" a="1"/>
  <c r="A69" i="26" s="1"/>
  <c r="B2" i="26" a="1"/>
  <c r="B2" i="26" s="1"/>
  <c r="A2" i="26" a="1"/>
  <c r="A2" i="26" s="1"/>
  <c r="N117" i="25"/>
  <c r="O117" i="25"/>
  <c r="P117" i="25"/>
  <c r="F117" i="25"/>
  <c r="G117" i="25"/>
  <c r="H117" i="25"/>
  <c r="I117" i="25"/>
  <c r="J117" i="25"/>
  <c r="K117" i="25"/>
  <c r="L117" i="25"/>
  <c r="M117" i="25"/>
  <c r="E117" i="25"/>
  <c r="D117" i="25"/>
  <c r="D118" i="25" s="1"/>
  <c r="D110" i="25"/>
  <c r="F112" i="25"/>
  <c r="N106" i="25"/>
  <c r="F94" i="25"/>
  <c r="J85" i="25"/>
  <c r="F110" i="25"/>
  <c r="G110" i="25"/>
  <c r="G112" i="25" s="1"/>
  <c r="H110" i="25"/>
  <c r="H112" i="25" s="1"/>
  <c r="I110" i="25"/>
  <c r="I112" i="25" s="1"/>
  <c r="J110" i="25"/>
  <c r="J112" i="25" s="1"/>
  <c r="K110" i="25"/>
  <c r="K112" i="25" s="1"/>
  <c r="L110" i="25"/>
  <c r="L112" i="25" s="1"/>
  <c r="M110" i="25"/>
  <c r="M112" i="25" s="1"/>
  <c r="N110" i="25"/>
  <c r="N112" i="25" s="1"/>
  <c r="O110" i="25"/>
  <c r="O112" i="25" s="1"/>
  <c r="P110" i="25"/>
  <c r="P112" i="25" s="1"/>
  <c r="F107" i="25"/>
  <c r="F109" i="25" s="1"/>
  <c r="G107" i="25"/>
  <c r="G109" i="25" s="1"/>
  <c r="H107" i="25"/>
  <c r="H109" i="25" s="1"/>
  <c r="I107" i="25"/>
  <c r="I109" i="25" s="1"/>
  <c r="J107" i="25"/>
  <c r="J109" i="25" s="1"/>
  <c r="K107" i="25"/>
  <c r="K109" i="25" s="1"/>
  <c r="L107" i="25"/>
  <c r="L109" i="25" s="1"/>
  <c r="M107" i="25"/>
  <c r="M109" i="25" s="1"/>
  <c r="N107" i="25"/>
  <c r="N109" i="25" s="1"/>
  <c r="O107" i="25"/>
  <c r="O109" i="25" s="1"/>
  <c r="P107" i="25"/>
  <c r="P109" i="25" s="1"/>
  <c r="F104" i="25"/>
  <c r="F106" i="25" s="1"/>
  <c r="G104" i="25"/>
  <c r="G106" i="25" s="1"/>
  <c r="H104" i="25"/>
  <c r="H106" i="25" s="1"/>
  <c r="I104" i="25"/>
  <c r="I106" i="25" s="1"/>
  <c r="J104" i="25"/>
  <c r="J106" i="25" s="1"/>
  <c r="K104" i="25"/>
  <c r="K106" i="25" s="1"/>
  <c r="L104" i="25"/>
  <c r="L106" i="25" s="1"/>
  <c r="M104" i="25"/>
  <c r="M106" i="25" s="1"/>
  <c r="N104" i="25"/>
  <c r="O104" i="25"/>
  <c r="O106" i="25" s="1"/>
  <c r="P104" i="25"/>
  <c r="P106" i="25" s="1"/>
  <c r="F101" i="25"/>
  <c r="F103" i="25" s="1"/>
  <c r="G101" i="25"/>
  <c r="G103" i="25" s="1"/>
  <c r="F98" i="25"/>
  <c r="F100" i="25" s="1"/>
  <c r="G98" i="25"/>
  <c r="G100" i="25" s="1"/>
  <c r="F95" i="25"/>
  <c r="F97" i="25" s="1"/>
  <c r="G95" i="25"/>
  <c r="G97" i="25" s="1"/>
  <c r="H95" i="25"/>
  <c r="H97" i="25" s="1"/>
  <c r="I95" i="25"/>
  <c r="I97" i="25" s="1"/>
  <c r="J95" i="25"/>
  <c r="J97" i="25" s="1"/>
  <c r="K95" i="25"/>
  <c r="K97" i="25" s="1"/>
  <c r="L95" i="25"/>
  <c r="L97" i="25" s="1"/>
  <c r="M95" i="25"/>
  <c r="M97" i="25" s="1"/>
  <c r="N95" i="25"/>
  <c r="N97" i="25" s="1"/>
  <c r="O95" i="25"/>
  <c r="O97" i="25" s="1"/>
  <c r="P95" i="25"/>
  <c r="P97" i="25" s="1"/>
  <c r="F92" i="25"/>
  <c r="G92" i="25"/>
  <c r="G94" i="25" s="1"/>
  <c r="H92" i="25"/>
  <c r="H94" i="25" s="1"/>
  <c r="E110" i="25"/>
  <c r="E112" i="25" s="1"/>
  <c r="E107" i="25"/>
  <c r="E109" i="25" s="1"/>
  <c r="E104" i="25"/>
  <c r="E106" i="25" s="1"/>
  <c r="E101" i="25"/>
  <c r="E103" i="25" s="1"/>
  <c r="E98" i="25"/>
  <c r="E100" i="25" s="1"/>
  <c r="E95" i="25"/>
  <c r="E97" i="25" s="1"/>
  <c r="E92" i="25"/>
  <c r="E94" i="25" s="1"/>
  <c r="E89" i="25"/>
  <c r="E91" i="25" s="1"/>
  <c r="F83" i="25"/>
  <c r="F85" i="25" s="1"/>
  <c r="G83" i="25"/>
  <c r="G85" i="25" s="1"/>
  <c r="H83" i="25"/>
  <c r="H85" i="25" s="1"/>
  <c r="I83" i="25"/>
  <c r="I85" i="25" s="1"/>
  <c r="J83" i="25"/>
  <c r="K83" i="25"/>
  <c r="K85" i="25" s="1"/>
  <c r="L83" i="25"/>
  <c r="L85" i="25" s="1"/>
  <c r="M83" i="25"/>
  <c r="M85" i="25" s="1"/>
  <c r="N83" i="25"/>
  <c r="N85" i="25" s="1"/>
  <c r="O83" i="25"/>
  <c r="O85" i="25" s="1"/>
  <c r="P83" i="25"/>
  <c r="P85" i="25" s="1"/>
  <c r="E83" i="25"/>
  <c r="E85" i="25" s="1"/>
  <c r="F80" i="25"/>
  <c r="F82" i="25" s="1"/>
  <c r="G80" i="25"/>
  <c r="G82" i="25" s="1"/>
  <c r="H80" i="25"/>
  <c r="H82" i="25" s="1"/>
  <c r="I80" i="25"/>
  <c r="I82" i="25" s="1"/>
  <c r="E80" i="25"/>
  <c r="E82" i="25" s="1"/>
  <c r="D113" i="25"/>
  <c r="D114" i="25" s="1"/>
  <c r="D115" i="25" s="1"/>
  <c r="D111" i="25"/>
  <c r="D112" i="25" s="1"/>
  <c r="D107" i="25"/>
  <c r="D108" i="25" s="1"/>
  <c r="D109" i="25" s="1"/>
  <c r="D104" i="25"/>
  <c r="D105" i="25"/>
  <c r="D106" i="25" s="1"/>
  <c r="D101" i="25"/>
  <c r="D102" i="25" s="1"/>
  <c r="D103" i="25" s="1"/>
  <c r="D98" i="25"/>
  <c r="D99" i="25"/>
  <c r="D100" i="25" s="1"/>
  <c r="D95" i="25"/>
  <c r="D96" i="25" s="1"/>
  <c r="D97" i="25" s="1"/>
  <c r="D92" i="25"/>
  <c r="D93" i="25"/>
  <c r="D94" i="25" s="1"/>
  <c r="D89" i="25"/>
  <c r="D90" i="25" s="1"/>
  <c r="D91" i="25" s="1"/>
  <c r="D86" i="25"/>
  <c r="D87" i="25"/>
  <c r="D88" i="25" s="1"/>
  <c r="D83" i="25"/>
  <c r="D84" i="25" s="1"/>
  <c r="D85" i="25" s="1"/>
  <c r="D80" i="25"/>
  <c r="D81" i="25" s="1"/>
  <c r="D82" i="25" s="1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19" i="25"/>
  <c r="E63" i="25"/>
  <c r="E66" i="25" s="1"/>
  <c r="D66" i="25"/>
  <c r="D67" i="25"/>
  <c r="D63" i="25"/>
  <c r="D64" i="25" s="1"/>
  <c r="D76" i="25"/>
  <c r="D73" i="25"/>
  <c r="D78" i="25"/>
  <c r="D79" i="25" s="1"/>
  <c r="L10" i="2"/>
  <c r="E77" i="25"/>
  <c r="E79" i="25" s="1"/>
  <c r="E74" i="25"/>
  <c r="E76" i="25" s="1"/>
  <c r="E71" i="25"/>
  <c r="E73" i="25" s="1"/>
  <c r="D77" i="25"/>
  <c r="E68" i="25"/>
  <c r="E70" i="25" s="1"/>
  <c r="D57" i="25"/>
  <c r="D58" i="25"/>
  <c r="D59" i="25"/>
  <c r="D60" i="25"/>
  <c r="D56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19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D16" i="25"/>
  <c r="D17" i="25" s="1"/>
  <c r="D7" i="25"/>
  <c r="D11" i="25" s="1"/>
  <c r="D6" i="25"/>
  <c r="D10" i="25" s="1"/>
  <c r="D14" i="25" s="1"/>
  <c r="D5" i="25"/>
  <c r="D9" i="25" s="1"/>
  <c r="D13" i="25" s="1"/>
  <c r="D4" i="25"/>
  <c r="D8" i="25" s="1"/>
  <c r="D12" i="25" s="1"/>
  <c r="BL2" i="25"/>
  <c r="BK2" i="25"/>
  <c r="BJ2" i="25"/>
  <c r="BI2" i="25"/>
  <c r="BH2" i="25"/>
  <c r="BG2" i="25"/>
  <c r="BF2" i="25"/>
  <c r="BE2" i="25"/>
  <c r="BD2" i="25"/>
  <c r="BC2" i="25"/>
  <c r="BB2" i="25"/>
  <c r="BA2" i="25"/>
  <c r="AZ2" i="25"/>
  <c r="AY2" i="25"/>
  <c r="AX2" i="25"/>
  <c r="AW2" i="25"/>
  <c r="AV2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B100" i="28" a="1"/>
  <c r="B100" i="28" s="1"/>
  <c r="A100" i="28" a="1"/>
  <c r="A100" i="28" s="1"/>
  <c r="H33" i="11"/>
  <c r="A50" i="11" s="1"/>
  <c r="B72" i="11"/>
  <c r="B61" i="11"/>
  <c r="A58" i="29"/>
  <c r="A44" i="29"/>
  <c r="A48" i="29" s="1"/>
  <c r="A52" i="29" s="1"/>
  <c r="A45" i="29"/>
  <c r="A61" i="29" s="1"/>
  <c r="A43" i="29"/>
  <c r="A47" i="29" s="1"/>
  <c r="A51" i="29" s="1"/>
  <c r="F33" i="29"/>
  <c r="F38" i="29" s="1"/>
  <c r="F34" i="29"/>
  <c r="F39" i="29" s="1"/>
  <c r="F32" i="29"/>
  <c r="F37" i="29" s="1"/>
  <c r="B41" i="29"/>
  <c r="B65" i="29" s="1"/>
  <c r="A57" i="29"/>
  <c r="A41" i="29"/>
  <c r="C30" i="29"/>
  <c r="C32" i="29" s="1"/>
  <c r="D5" i="29"/>
  <c r="D4" i="29"/>
  <c r="B73" i="29"/>
  <c r="C73" i="29" s="1"/>
  <c r="D73" i="29" s="1"/>
  <c r="E73" i="29" s="1"/>
  <c r="F73" i="29" s="1"/>
  <c r="G73" i="29" s="1"/>
  <c r="H73" i="29" s="1"/>
  <c r="I73" i="29" s="1"/>
  <c r="J73" i="29" s="1"/>
  <c r="K73" i="29" s="1"/>
  <c r="L73" i="29" s="1"/>
  <c r="M73" i="29" s="1"/>
  <c r="N73" i="29" s="1"/>
  <c r="O73" i="29" s="1"/>
  <c r="P73" i="29" s="1"/>
  <c r="Q73" i="29" s="1"/>
  <c r="R73" i="29" s="1"/>
  <c r="S73" i="29" s="1"/>
  <c r="T73" i="29" s="1"/>
  <c r="U73" i="29" s="1"/>
  <c r="V73" i="29" s="1"/>
  <c r="W73" i="29" s="1"/>
  <c r="X73" i="29" s="1"/>
  <c r="Y73" i="29" s="1"/>
  <c r="Z73" i="29" s="1"/>
  <c r="AA73" i="29" s="1"/>
  <c r="AB73" i="29" s="1"/>
  <c r="AC73" i="29" s="1"/>
  <c r="AD73" i="29" s="1"/>
  <c r="AE73" i="29" s="1"/>
  <c r="AF73" i="29" s="1"/>
  <c r="AG73" i="29" s="1"/>
  <c r="AH73" i="29" s="1"/>
  <c r="AI73" i="29" s="1"/>
  <c r="AJ73" i="29" s="1"/>
  <c r="AK73" i="29" s="1"/>
  <c r="AL73" i="29" s="1"/>
  <c r="AM73" i="29" s="1"/>
  <c r="AN73" i="29" s="1"/>
  <c r="AO73" i="29" s="1"/>
  <c r="AP73" i="29" s="1"/>
  <c r="AQ73" i="29" s="1"/>
  <c r="AR73" i="29" s="1"/>
  <c r="AS73" i="29" s="1"/>
  <c r="AT73" i="29" s="1"/>
  <c r="AU73" i="29" s="1"/>
  <c r="AV73" i="29" s="1"/>
  <c r="AW73" i="29" s="1"/>
  <c r="AX73" i="29" s="1"/>
  <c r="AY73" i="29" s="1"/>
  <c r="AZ73" i="29" s="1"/>
  <c r="BA73" i="29" s="1"/>
  <c r="BB73" i="29" s="1"/>
  <c r="BC73" i="29" s="1"/>
  <c r="BD73" i="29" s="1"/>
  <c r="B69" i="29"/>
  <c r="B78" i="29" s="1"/>
  <c r="B84" i="29" s="1"/>
  <c r="C19" i="29"/>
  <c r="B17" i="29"/>
  <c r="B18" i="29" s="1"/>
  <c r="B20" i="29" s="1"/>
  <c r="I21" i="29" s="1"/>
  <c r="B50" i="11" s="1"/>
  <c r="C50" i="11" s="1"/>
  <c r="C16" i="29"/>
  <c r="I13" i="29"/>
  <c r="B13" i="29"/>
  <c r="D12" i="29"/>
  <c r="D11" i="29"/>
  <c r="K10" i="29"/>
  <c r="D10" i="29"/>
  <c r="K9" i="29"/>
  <c r="D9" i="29"/>
  <c r="K7" i="29"/>
  <c r="D7" i="29"/>
  <c r="K6" i="29"/>
  <c r="K5" i="29"/>
  <c r="E430" i="1" l="1"/>
  <c r="E475" i="1" s="1"/>
  <c r="E471" i="1"/>
  <c r="E516" i="1" s="1"/>
  <c r="E561" i="1" s="1"/>
  <c r="F59" i="31"/>
  <c r="E64" i="31"/>
  <c r="E70" i="31" s="1"/>
  <c r="F55" i="31"/>
  <c r="E35" i="31"/>
  <c r="E39" i="31" s="1"/>
  <c r="E48" i="31" s="1"/>
  <c r="D51" i="31"/>
  <c r="F63" i="25"/>
  <c r="G63" i="25" s="1"/>
  <c r="H63" i="25" s="1"/>
  <c r="I63" i="25" s="1"/>
  <c r="E71" i="30"/>
  <c r="E72" i="30" s="1"/>
  <c r="E73" i="30" s="1"/>
  <c r="A61" i="11"/>
  <c r="A10" i="11"/>
  <c r="C71" i="30"/>
  <c r="C72" i="30" s="1"/>
  <c r="C73" i="30" s="1"/>
  <c r="C75" i="30" s="1"/>
  <c r="D71" i="30"/>
  <c r="D72" i="30" s="1"/>
  <c r="B70" i="30"/>
  <c r="B72" i="30" s="1"/>
  <c r="B74" i="30" s="1"/>
  <c r="F70" i="30"/>
  <c r="F72" i="30" s="1"/>
  <c r="E74" i="30"/>
  <c r="C74" i="30"/>
  <c r="C76" i="30" s="1"/>
  <c r="C82" i="30" s="1"/>
  <c r="F66" i="30"/>
  <c r="F65" i="30"/>
  <c r="B65" i="30"/>
  <c r="B66" i="30"/>
  <c r="E66" i="30"/>
  <c r="E65" i="30"/>
  <c r="N48" i="30"/>
  <c r="N60" i="30"/>
  <c r="AD48" i="30"/>
  <c r="AD60" i="30"/>
  <c r="AT48" i="30"/>
  <c r="AT60" i="30"/>
  <c r="AS60" i="30"/>
  <c r="AS48" i="30"/>
  <c r="W48" i="30"/>
  <c r="W60" i="30"/>
  <c r="AM48" i="30"/>
  <c r="AM60" i="30"/>
  <c r="BC48" i="30"/>
  <c r="BC60" i="30"/>
  <c r="BE60" i="30"/>
  <c r="BE48" i="30"/>
  <c r="AB48" i="30"/>
  <c r="AB60" i="30"/>
  <c r="AR48" i="30"/>
  <c r="AR60" i="30"/>
  <c r="BH48" i="30"/>
  <c r="BH60" i="30"/>
  <c r="AG60" i="30"/>
  <c r="AG48" i="30"/>
  <c r="R48" i="30"/>
  <c r="R60" i="30"/>
  <c r="AH48" i="30"/>
  <c r="AH60" i="30"/>
  <c r="AX48" i="30"/>
  <c r="AX60" i="30"/>
  <c r="BA60" i="30"/>
  <c r="BA48" i="30"/>
  <c r="AA48" i="30"/>
  <c r="AA60" i="30"/>
  <c r="AQ48" i="30"/>
  <c r="AQ60" i="30"/>
  <c r="BG48" i="30"/>
  <c r="BG60" i="30"/>
  <c r="P60" i="30"/>
  <c r="P48" i="30"/>
  <c r="AF60" i="30"/>
  <c r="AF48" i="30"/>
  <c r="AV60" i="30"/>
  <c r="AV48" i="30"/>
  <c r="M60" i="30"/>
  <c r="M48" i="30"/>
  <c r="Y60" i="30"/>
  <c r="Y48" i="30"/>
  <c r="V48" i="30"/>
  <c r="V60" i="30"/>
  <c r="AL48" i="30"/>
  <c r="AL60" i="30"/>
  <c r="BB48" i="30"/>
  <c r="BB60" i="30"/>
  <c r="O48" i="30"/>
  <c r="O60" i="30"/>
  <c r="AE48" i="30"/>
  <c r="AE60" i="30"/>
  <c r="AU48" i="30"/>
  <c r="AU60" i="30"/>
  <c r="AO60" i="30"/>
  <c r="AO48" i="30"/>
  <c r="T48" i="30"/>
  <c r="T60" i="30"/>
  <c r="AJ48" i="30"/>
  <c r="AJ60" i="30"/>
  <c r="AZ48" i="30"/>
  <c r="AZ60" i="30"/>
  <c r="AC60" i="30"/>
  <c r="AC48" i="30"/>
  <c r="U60" i="30"/>
  <c r="U48" i="30"/>
  <c r="Z48" i="30"/>
  <c r="Z60" i="30"/>
  <c r="AP48" i="30"/>
  <c r="AP60" i="30"/>
  <c r="BF48" i="30"/>
  <c r="BF60" i="30"/>
  <c r="S48" i="30"/>
  <c r="S60" i="30"/>
  <c r="AI48" i="30"/>
  <c r="AI60" i="30"/>
  <c r="AY48" i="30"/>
  <c r="AY60" i="30"/>
  <c r="AW60" i="30"/>
  <c r="AW48" i="30"/>
  <c r="X60" i="30"/>
  <c r="X48" i="30"/>
  <c r="AN60" i="30"/>
  <c r="AN48" i="30"/>
  <c r="BD60" i="30"/>
  <c r="BD48" i="30"/>
  <c r="Q60" i="30"/>
  <c r="Q48" i="30"/>
  <c r="AK60" i="30"/>
  <c r="AK48" i="30"/>
  <c r="E49" i="30"/>
  <c r="B49" i="30"/>
  <c r="B53" i="30"/>
  <c r="B56" i="30" s="1"/>
  <c r="B55" i="30" s="1"/>
  <c r="C49" i="30"/>
  <c r="C54" i="30"/>
  <c r="C57" i="30" s="1"/>
  <c r="C55" i="30" s="1"/>
  <c r="F49" i="30"/>
  <c r="F53" i="30"/>
  <c r="F56" i="30" s="1"/>
  <c r="F55" i="30" s="1"/>
  <c r="D53" i="30"/>
  <c r="D49" i="30"/>
  <c r="E55" i="30"/>
  <c r="E52" i="30"/>
  <c r="E58" i="30" s="1"/>
  <c r="E81" i="30" s="1"/>
  <c r="D30" i="30"/>
  <c r="D34" i="30" s="1"/>
  <c r="D79" i="30" s="1"/>
  <c r="B37" i="30"/>
  <c r="B40" i="30"/>
  <c r="B46" i="30" s="1"/>
  <c r="B80" i="30" s="1"/>
  <c r="B43" i="30"/>
  <c r="C41" i="30"/>
  <c r="C37" i="30"/>
  <c r="F41" i="30"/>
  <c r="F37" i="30"/>
  <c r="D37" i="30"/>
  <c r="D41" i="30"/>
  <c r="D44" i="30" s="1"/>
  <c r="E42" i="30"/>
  <c r="E37" i="30"/>
  <c r="D45" i="30"/>
  <c r="E33" i="30"/>
  <c r="B33" i="30"/>
  <c r="B34" i="30"/>
  <c r="B79" i="30" s="1"/>
  <c r="C33" i="30"/>
  <c r="C34" i="30"/>
  <c r="C79" i="30" s="1"/>
  <c r="F33" i="30"/>
  <c r="F34" i="30"/>
  <c r="F79" i="30" s="1"/>
  <c r="F59" i="25"/>
  <c r="G50" i="11"/>
  <c r="R50" i="11"/>
  <c r="F50" i="11"/>
  <c r="J50" i="11"/>
  <c r="N50" i="11"/>
  <c r="F56" i="25"/>
  <c r="F57" i="25"/>
  <c r="F60" i="25"/>
  <c r="F58" i="25"/>
  <c r="A21" i="11"/>
  <c r="A72" i="11"/>
  <c r="A84" i="11" s="1"/>
  <c r="A96" i="11" s="1"/>
  <c r="Q50" i="11"/>
  <c r="M50" i="11"/>
  <c r="I50" i="11"/>
  <c r="E50" i="11"/>
  <c r="A32" i="11"/>
  <c r="T50" i="11"/>
  <c r="P50" i="11"/>
  <c r="L50" i="11"/>
  <c r="H50" i="11"/>
  <c r="D50" i="11"/>
  <c r="S50" i="11"/>
  <c r="O50" i="11"/>
  <c r="K50" i="11"/>
  <c r="A49" i="29"/>
  <c r="A53" i="29" s="1"/>
  <c r="A60" i="29"/>
  <c r="A59" i="29"/>
  <c r="B57" i="29"/>
  <c r="D13" i="29"/>
  <c r="K13" i="29"/>
  <c r="C69" i="29"/>
  <c r="C52" i="30" l="1"/>
  <c r="C58" i="30" s="1"/>
  <c r="C81" i="30" s="1"/>
  <c r="E476" i="1"/>
  <c r="E521" i="1" s="1"/>
  <c r="E566" i="1" s="1"/>
  <c r="E520" i="1"/>
  <c r="G59" i="31"/>
  <c r="F64" i="31"/>
  <c r="F70" i="31" s="1"/>
  <c r="G55" i="31"/>
  <c r="F35" i="31"/>
  <c r="F39" i="31" s="1"/>
  <c r="F48" i="31" s="1"/>
  <c r="E51" i="31"/>
  <c r="B73" i="30"/>
  <c r="B75" i="30" s="1"/>
  <c r="B86" i="30" s="1"/>
  <c r="C45" i="11" s="1"/>
  <c r="D74" i="30"/>
  <c r="D76" i="30" s="1"/>
  <c r="D82" i="30" s="1"/>
  <c r="D73" i="30"/>
  <c r="D75" i="30" s="1"/>
  <c r="F73" i="30"/>
  <c r="F75" i="30" s="1"/>
  <c r="F74" i="30"/>
  <c r="F76" i="30" s="1"/>
  <c r="F82" i="30" s="1"/>
  <c r="E75" i="30"/>
  <c r="B76" i="30"/>
  <c r="B82" i="30" s="1"/>
  <c r="E76" i="30"/>
  <c r="E82" i="30" s="1"/>
  <c r="D33" i="30"/>
  <c r="F52" i="30"/>
  <c r="F58" i="30" s="1"/>
  <c r="F81" i="30" s="1"/>
  <c r="D56" i="30"/>
  <c r="D55" i="30" s="1"/>
  <c r="D52" i="30"/>
  <c r="D58" i="30" s="1"/>
  <c r="D81" i="30" s="1"/>
  <c r="B52" i="30"/>
  <c r="B58" i="30" s="1"/>
  <c r="B81" i="30" s="1"/>
  <c r="D40" i="30"/>
  <c r="D46" i="30" s="1"/>
  <c r="D80" i="30" s="1"/>
  <c r="F44" i="30"/>
  <c r="F43" i="30" s="1"/>
  <c r="F40" i="30"/>
  <c r="F46" i="30" s="1"/>
  <c r="F80" i="30" s="1"/>
  <c r="D43" i="30"/>
  <c r="C40" i="30"/>
  <c r="C46" i="30" s="1"/>
  <c r="C80" i="30" s="1"/>
  <c r="C83" i="30" s="1"/>
  <c r="C44" i="30"/>
  <c r="C43" i="30" s="1"/>
  <c r="C86" i="30" s="1"/>
  <c r="E45" i="30"/>
  <c r="E43" i="30" s="1"/>
  <c r="E40" i="30"/>
  <c r="E46" i="30" s="1"/>
  <c r="E80" i="30" s="1"/>
  <c r="E83" i="30" s="1"/>
  <c r="F66" i="25"/>
  <c r="I34" i="11"/>
  <c r="C78" i="29"/>
  <c r="C84" i="29" s="1"/>
  <c r="D69" i="29"/>
  <c r="C41" i="29"/>
  <c r="D83" i="30" l="1"/>
  <c r="E79" i="11" s="1"/>
  <c r="E523" i="1"/>
  <c r="E568" i="1" s="1"/>
  <c r="E565" i="1"/>
  <c r="H59" i="31"/>
  <c r="F51" i="31"/>
  <c r="H55" i="31"/>
  <c r="G64" i="31"/>
  <c r="G70" i="31" s="1"/>
  <c r="G35" i="31"/>
  <c r="G39" i="31" s="1"/>
  <c r="G48" i="31" s="1"/>
  <c r="E87" i="30"/>
  <c r="F56" i="11" s="1"/>
  <c r="F79" i="11"/>
  <c r="C87" i="30"/>
  <c r="D56" i="11" s="1"/>
  <c r="D79" i="11"/>
  <c r="F83" i="30"/>
  <c r="D86" i="30"/>
  <c r="D45" i="11"/>
  <c r="E86" i="30"/>
  <c r="F86" i="30"/>
  <c r="B83" i="30"/>
  <c r="G66" i="25"/>
  <c r="B10" i="11"/>
  <c r="C65" i="29"/>
  <c r="C57" i="29"/>
  <c r="D78" i="29"/>
  <c r="D84" i="29" s="1"/>
  <c r="E69" i="29"/>
  <c r="D41" i="29"/>
  <c r="D87" i="30" l="1"/>
  <c r="E56" i="11" s="1"/>
  <c r="I59" i="31"/>
  <c r="G51" i="31"/>
  <c r="I55" i="31"/>
  <c r="H64" i="31"/>
  <c r="H70" i="31" s="1"/>
  <c r="H35" i="31"/>
  <c r="H39" i="31" s="1"/>
  <c r="H48" i="31" s="1"/>
  <c r="C88" i="30"/>
  <c r="D67" i="11" s="1"/>
  <c r="B87" i="30"/>
  <c r="C56" i="11" s="1"/>
  <c r="C79" i="11"/>
  <c r="F87" i="30"/>
  <c r="G56" i="11" s="1"/>
  <c r="G79" i="11"/>
  <c r="E45" i="11"/>
  <c r="G45" i="11"/>
  <c r="F45" i="11"/>
  <c r="E88" i="30"/>
  <c r="H66" i="25"/>
  <c r="D65" i="29"/>
  <c r="D57" i="29"/>
  <c r="E78" i="29"/>
  <c r="E84" i="29" s="1"/>
  <c r="F69" i="29"/>
  <c r="E41" i="29"/>
  <c r="C21" i="6"/>
  <c r="D61" i="7"/>
  <c r="D15" i="9"/>
  <c r="E39" i="13"/>
  <c r="C39" i="13"/>
  <c r="G36" i="13"/>
  <c r="D4" i="16"/>
  <c r="A53" i="28" a="1"/>
  <c r="A53" i="28" s="1"/>
  <c r="B36" i="28" a="1"/>
  <c r="B36" i="28" s="1"/>
  <c r="A36" i="28" a="1"/>
  <c r="A36" i="28" s="1"/>
  <c r="B19" i="28" a="1"/>
  <c r="B19" i="28" s="1"/>
  <c r="A19" i="28" a="1"/>
  <c r="A19" i="28" s="1"/>
  <c r="B2" i="28" a="1"/>
  <c r="B2" i="28" s="1"/>
  <c r="A2" i="28" a="1"/>
  <c r="A2" i="28" s="1"/>
  <c r="E186" i="27"/>
  <c r="F186" i="27" s="1"/>
  <c r="G186" i="27" s="1"/>
  <c r="H186" i="27" s="1"/>
  <c r="I186" i="27" s="1"/>
  <c r="J186" i="27" s="1"/>
  <c r="K186" i="27" s="1"/>
  <c r="L186" i="27" s="1"/>
  <c r="M186" i="27" s="1"/>
  <c r="N186" i="27" s="1"/>
  <c r="O186" i="27" s="1"/>
  <c r="P186" i="27" s="1"/>
  <c r="Q186" i="27" s="1"/>
  <c r="R186" i="27" s="1"/>
  <c r="S186" i="27" s="1"/>
  <c r="T186" i="27" s="1"/>
  <c r="U186" i="27" s="1"/>
  <c r="V186" i="27" s="1"/>
  <c r="W186" i="27" s="1"/>
  <c r="X186" i="27" s="1"/>
  <c r="Y186" i="27" s="1"/>
  <c r="Z186" i="27" s="1"/>
  <c r="AA186" i="27" s="1"/>
  <c r="AB186" i="27" s="1"/>
  <c r="AC186" i="27" s="1"/>
  <c r="AD186" i="27" s="1"/>
  <c r="AE186" i="27" s="1"/>
  <c r="AF186" i="27" s="1"/>
  <c r="AG186" i="27" s="1"/>
  <c r="AH186" i="27" s="1"/>
  <c r="AI186" i="27" s="1"/>
  <c r="AJ186" i="27" s="1"/>
  <c r="AK186" i="27" s="1"/>
  <c r="AL186" i="27" s="1"/>
  <c r="AM186" i="27" s="1"/>
  <c r="AN186" i="27" s="1"/>
  <c r="AO186" i="27" s="1"/>
  <c r="AP186" i="27" s="1"/>
  <c r="AQ186" i="27" s="1"/>
  <c r="AR186" i="27" s="1"/>
  <c r="AS186" i="27" s="1"/>
  <c r="AT186" i="27" s="1"/>
  <c r="AU186" i="27" s="1"/>
  <c r="AV186" i="27" s="1"/>
  <c r="AW186" i="27" s="1"/>
  <c r="AX186" i="27" s="1"/>
  <c r="AY186" i="27" s="1"/>
  <c r="AZ186" i="27" s="1"/>
  <c r="BA186" i="27" s="1"/>
  <c r="BB186" i="27" s="1"/>
  <c r="BC186" i="27" s="1"/>
  <c r="BD186" i="27" s="1"/>
  <c r="BE186" i="27" s="1"/>
  <c r="BF186" i="27" s="1"/>
  <c r="BG186" i="27" s="1"/>
  <c r="BH186" i="27" s="1"/>
  <c r="BI186" i="27" s="1"/>
  <c r="BJ186" i="27" s="1"/>
  <c r="BK186" i="27" s="1"/>
  <c r="BL186" i="27" s="1"/>
  <c r="E158" i="27"/>
  <c r="E160" i="27" s="1"/>
  <c r="E152" i="27" a="1"/>
  <c r="E152" i="27" s="1"/>
  <c r="E154" i="27" s="1"/>
  <c r="E149" i="27"/>
  <c r="E151" i="27" s="1"/>
  <c r="B149" i="27"/>
  <c r="BL180" i="27"/>
  <c r="BK180" i="27"/>
  <c r="BJ180" i="27"/>
  <c r="BI180" i="27"/>
  <c r="BH180" i="27"/>
  <c r="BG180" i="27"/>
  <c r="BF180" i="27"/>
  <c r="BE180" i="27"/>
  <c r="BD180" i="27"/>
  <c r="BC180" i="27"/>
  <c r="BB180" i="27"/>
  <c r="BA180" i="27"/>
  <c r="AZ180" i="27"/>
  <c r="AY180" i="27"/>
  <c r="AX180" i="27"/>
  <c r="AW180" i="27"/>
  <c r="AV180" i="27"/>
  <c r="AU180" i="27"/>
  <c r="AT180" i="27"/>
  <c r="AS180" i="27"/>
  <c r="AR180" i="27"/>
  <c r="AQ180" i="27"/>
  <c r="AP180" i="27"/>
  <c r="AO180" i="27"/>
  <c r="AN180" i="27"/>
  <c r="AM180" i="27"/>
  <c r="AL180" i="27"/>
  <c r="AK180" i="27"/>
  <c r="AJ180" i="27"/>
  <c r="AI180" i="27"/>
  <c r="AH180" i="27"/>
  <c r="AG180" i="27"/>
  <c r="AF180" i="27"/>
  <c r="AE180" i="27"/>
  <c r="AD180" i="27"/>
  <c r="AC180" i="27"/>
  <c r="AB180" i="27"/>
  <c r="AA180" i="27"/>
  <c r="Z180" i="27"/>
  <c r="Y180" i="27"/>
  <c r="X180" i="27"/>
  <c r="W180" i="27"/>
  <c r="V180" i="27"/>
  <c r="U180" i="27"/>
  <c r="T180" i="27"/>
  <c r="S180" i="27"/>
  <c r="R180" i="27"/>
  <c r="Q180" i="27"/>
  <c r="P180" i="27"/>
  <c r="O180" i="27"/>
  <c r="N180" i="27"/>
  <c r="M180" i="27"/>
  <c r="L180" i="27"/>
  <c r="K180" i="27"/>
  <c r="J180" i="27"/>
  <c r="I180" i="27"/>
  <c r="H180" i="27"/>
  <c r="G180" i="27"/>
  <c r="F180" i="27"/>
  <c r="E180" i="27"/>
  <c r="BL172" i="27"/>
  <c r="BK172" i="27"/>
  <c r="BJ172" i="27"/>
  <c r="BI172" i="27"/>
  <c r="BH172" i="27"/>
  <c r="BG172" i="27"/>
  <c r="BF172" i="27"/>
  <c r="BE172" i="27"/>
  <c r="BD172" i="27"/>
  <c r="BC172" i="27"/>
  <c r="BB172" i="27"/>
  <c r="BA172" i="27"/>
  <c r="AZ172" i="27"/>
  <c r="AY172" i="27"/>
  <c r="AX172" i="27"/>
  <c r="AW172" i="27"/>
  <c r="AV172" i="27"/>
  <c r="AU172" i="27"/>
  <c r="AT172" i="27"/>
  <c r="AS172" i="27"/>
  <c r="AR172" i="27"/>
  <c r="AQ172" i="27"/>
  <c r="AP172" i="27"/>
  <c r="AO172" i="27"/>
  <c r="AN172" i="27"/>
  <c r="AM172" i="27"/>
  <c r="AL172" i="27"/>
  <c r="AK172" i="27"/>
  <c r="AJ172" i="27"/>
  <c r="AI172" i="27"/>
  <c r="AH172" i="27"/>
  <c r="AG172" i="27"/>
  <c r="AF172" i="27"/>
  <c r="AE172" i="27"/>
  <c r="AD172" i="27"/>
  <c r="AC172" i="27"/>
  <c r="AB172" i="27"/>
  <c r="AA172" i="27"/>
  <c r="Z172" i="27"/>
  <c r="Y172" i="27"/>
  <c r="X172" i="27"/>
  <c r="W172" i="27"/>
  <c r="V172" i="27"/>
  <c r="U172" i="27"/>
  <c r="T172" i="27"/>
  <c r="S172" i="27"/>
  <c r="R172" i="27"/>
  <c r="Q172" i="27"/>
  <c r="P172" i="27"/>
  <c r="O172" i="27"/>
  <c r="N172" i="27"/>
  <c r="M172" i="27"/>
  <c r="L172" i="27"/>
  <c r="K172" i="27"/>
  <c r="J172" i="27"/>
  <c r="I172" i="27"/>
  <c r="H172" i="27"/>
  <c r="G172" i="27"/>
  <c r="F172" i="27"/>
  <c r="D168" i="27"/>
  <c r="D165" i="27"/>
  <c r="E125" i="27"/>
  <c r="E127" i="27" s="1"/>
  <c r="E119" i="27" a="1"/>
  <c r="E119" i="27" s="1"/>
  <c r="E121" i="27" s="1"/>
  <c r="E116" i="27"/>
  <c r="B116" i="27"/>
  <c r="BL147" i="27"/>
  <c r="BK147" i="27"/>
  <c r="BJ147" i="27"/>
  <c r="BI147" i="27"/>
  <c r="BH147" i="27"/>
  <c r="BG147" i="27"/>
  <c r="BF147" i="27"/>
  <c r="BE147" i="27"/>
  <c r="BD147" i="27"/>
  <c r="BC147" i="27"/>
  <c r="BB147" i="27"/>
  <c r="BA147" i="27"/>
  <c r="AZ147" i="27"/>
  <c r="AY147" i="27"/>
  <c r="AX147" i="27"/>
  <c r="AW147" i="27"/>
  <c r="AV147" i="27"/>
  <c r="AU147" i="27"/>
  <c r="AT147" i="27"/>
  <c r="AS147" i="27"/>
  <c r="AR147" i="27"/>
  <c r="AQ147" i="27"/>
  <c r="AP147" i="27"/>
  <c r="AO147" i="27"/>
  <c r="AN147" i="27"/>
  <c r="AM147" i="27"/>
  <c r="AL147" i="27"/>
  <c r="AK147" i="27"/>
  <c r="AJ147" i="27"/>
  <c r="AI147" i="27"/>
  <c r="AH147" i="27"/>
  <c r="AG147" i="27"/>
  <c r="AF147" i="27"/>
  <c r="AE147" i="27"/>
  <c r="AD147" i="27"/>
  <c r="AC147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E147" i="27"/>
  <c r="BL139" i="27"/>
  <c r="BK139" i="27"/>
  <c r="BJ139" i="27"/>
  <c r="BI139" i="27"/>
  <c r="BH139" i="27"/>
  <c r="BG139" i="27"/>
  <c r="BF139" i="27"/>
  <c r="BE139" i="27"/>
  <c r="BD139" i="27"/>
  <c r="BC139" i="27"/>
  <c r="BB139" i="27"/>
  <c r="BA139" i="27"/>
  <c r="AZ139" i="27"/>
  <c r="AY139" i="27"/>
  <c r="AX139" i="27"/>
  <c r="AW139" i="27"/>
  <c r="AV139" i="27"/>
  <c r="AU139" i="27"/>
  <c r="AT139" i="27"/>
  <c r="AS139" i="27"/>
  <c r="AR139" i="27"/>
  <c r="AQ139" i="27"/>
  <c r="AP139" i="27"/>
  <c r="AO139" i="27"/>
  <c r="AN139" i="27"/>
  <c r="AM139" i="27"/>
  <c r="AL139" i="27"/>
  <c r="AK139" i="27"/>
  <c r="AJ139" i="27"/>
  <c r="AI139" i="27"/>
  <c r="AH139" i="27"/>
  <c r="AG139" i="27"/>
  <c r="AF139" i="27"/>
  <c r="AE139" i="27"/>
  <c r="AD139" i="27"/>
  <c r="AC139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D135" i="27"/>
  <c r="D132" i="27"/>
  <c r="E118" i="27"/>
  <c r="E114" i="27"/>
  <c r="D102" i="27"/>
  <c r="D99" i="27"/>
  <c r="E92" i="27"/>
  <c r="E94" i="27" s="1"/>
  <c r="E83" i="27"/>
  <c r="E85" i="27" s="1"/>
  <c r="B83" i="27"/>
  <c r="BL114" i="27"/>
  <c r="BK114" i="27"/>
  <c r="BJ114" i="27"/>
  <c r="BI114" i="27"/>
  <c r="BH114" i="27"/>
  <c r="BG114" i="27"/>
  <c r="BF114" i="27"/>
  <c r="BE114" i="27"/>
  <c r="BD114" i="27"/>
  <c r="BC114" i="27"/>
  <c r="BB114" i="27"/>
  <c r="BA114" i="27"/>
  <c r="AZ114" i="27"/>
  <c r="AY114" i="27"/>
  <c r="AX114" i="27"/>
  <c r="AW114" i="27"/>
  <c r="AV114" i="27"/>
  <c r="AU114" i="27"/>
  <c r="AT114" i="27"/>
  <c r="AS114" i="27"/>
  <c r="AR114" i="27"/>
  <c r="AQ114" i="27"/>
  <c r="AP114" i="27"/>
  <c r="AO114" i="27"/>
  <c r="AN114" i="27"/>
  <c r="AM114" i="27"/>
  <c r="AL114" i="27"/>
  <c r="AK114" i="27"/>
  <c r="AJ114" i="27"/>
  <c r="AI114" i="27"/>
  <c r="AH114" i="27"/>
  <c r="AG114" i="27"/>
  <c r="AF114" i="27"/>
  <c r="AE114" i="27"/>
  <c r="AD114" i="27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BL106" i="27"/>
  <c r="BK106" i="27"/>
  <c r="BJ106" i="27"/>
  <c r="BI106" i="27"/>
  <c r="BH106" i="27"/>
  <c r="BG106" i="27"/>
  <c r="BF106" i="27"/>
  <c r="BE106" i="27"/>
  <c r="BD106" i="27"/>
  <c r="BC106" i="27"/>
  <c r="BB106" i="27"/>
  <c r="BA106" i="27"/>
  <c r="AZ106" i="27"/>
  <c r="AY106" i="27"/>
  <c r="AX106" i="27"/>
  <c r="AW106" i="27"/>
  <c r="AV106" i="27"/>
  <c r="AU106" i="27"/>
  <c r="AT106" i="27"/>
  <c r="AS106" i="27"/>
  <c r="AR106" i="27"/>
  <c r="AQ106" i="27"/>
  <c r="AP106" i="27"/>
  <c r="AO106" i="27"/>
  <c r="AN106" i="27"/>
  <c r="AM106" i="27"/>
  <c r="AL106" i="27"/>
  <c r="AK106" i="27"/>
  <c r="AJ106" i="27"/>
  <c r="AI106" i="27"/>
  <c r="AH106" i="27"/>
  <c r="AG106" i="27"/>
  <c r="AF106" i="27"/>
  <c r="AE106" i="27"/>
  <c r="AD106" i="27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D68" i="27"/>
  <c r="D69" i="27" s="1"/>
  <c r="D65" i="27"/>
  <c r="D66" i="27" s="1"/>
  <c r="E81" i="27"/>
  <c r="BL81" i="27"/>
  <c r="BK81" i="27"/>
  <c r="BJ81" i="27"/>
  <c r="BI81" i="27"/>
  <c r="BH81" i="27"/>
  <c r="BG81" i="27"/>
  <c r="BF81" i="27"/>
  <c r="BD81" i="27"/>
  <c r="BC81" i="27"/>
  <c r="BB81" i="27"/>
  <c r="AZ81" i="27"/>
  <c r="AY81" i="27"/>
  <c r="AX81" i="27"/>
  <c r="AV81" i="27"/>
  <c r="AU81" i="27"/>
  <c r="AT81" i="27"/>
  <c r="AS81" i="27"/>
  <c r="AR81" i="27"/>
  <c r="AQ81" i="27"/>
  <c r="AP81" i="27"/>
  <c r="AO81" i="27"/>
  <c r="AN81" i="27"/>
  <c r="AM81" i="27"/>
  <c r="AL81" i="27"/>
  <c r="AJ81" i="27"/>
  <c r="AI81" i="27"/>
  <c r="AH81" i="27"/>
  <c r="AG81" i="27"/>
  <c r="AF81" i="27"/>
  <c r="AE81" i="27"/>
  <c r="AD81" i="27"/>
  <c r="AC81" i="27"/>
  <c r="AB81" i="27"/>
  <c r="AA81" i="27"/>
  <c r="Z81" i="27"/>
  <c r="X81" i="27"/>
  <c r="W81" i="27"/>
  <c r="V81" i="27"/>
  <c r="U81" i="27"/>
  <c r="T81" i="27"/>
  <c r="S81" i="27"/>
  <c r="R81" i="27"/>
  <c r="P81" i="27"/>
  <c r="O81" i="27"/>
  <c r="N81" i="27"/>
  <c r="L81" i="27"/>
  <c r="K81" i="27"/>
  <c r="J81" i="27"/>
  <c r="I81" i="27"/>
  <c r="H81" i="27"/>
  <c r="G81" i="27"/>
  <c r="F81" i="27"/>
  <c r="E59" i="27"/>
  <c r="E61" i="27" s="1"/>
  <c r="E50" i="27"/>
  <c r="E52" i="27" s="1"/>
  <c r="B50" i="27"/>
  <c r="F45" i="27"/>
  <c r="F48" i="27" s="1"/>
  <c r="G45" i="27"/>
  <c r="G48" i="27" s="1"/>
  <c r="H45" i="27"/>
  <c r="H48" i="27" s="1"/>
  <c r="I45" i="27"/>
  <c r="I48" i="27" s="1"/>
  <c r="J45" i="27"/>
  <c r="J48" i="27" s="1"/>
  <c r="K45" i="27"/>
  <c r="K48" i="27" s="1"/>
  <c r="L45" i="27"/>
  <c r="L48" i="27" s="1"/>
  <c r="M45" i="27"/>
  <c r="M48" i="27" s="1"/>
  <c r="N45" i="27"/>
  <c r="N48" i="27" s="1"/>
  <c r="O45" i="27"/>
  <c r="O48" i="27" s="1"/>
  <c r="P45" i="27"/>
  <c r="P48" i="27" s="1"/>
  <c r="Q45" i="27"/>
  <c r="Q48" i="27" s="1"/>
  <c r="R45" i="27"/>
  <c r="R48" i="27" s="1"/>
  <c r="S45" i="27"/>
  <c r="S48" i="27" s="1"/>
  <c r="T45" i="27"/>
  <c r="T48" i="27" s="1"/>
  <c r="U45" i="27"/>
  <c r="U48" i="27" s="1"/>
  <c r="V45" i="27"/>
  <c r="V48" i="27" s="1"/>
  <c r="W45" i="27"/>
  <c r="W48" i="27" s="1"/>
  <c r="X45" i="27"/>
  <c r="X48" i="27" s="1"/>
  <c r="Y45" i="27"/>
  <c r="Y48" i="27" s="1"/>
  <c r="Z45" i="27"/>
  <c r="Z48" i="27" s="1"/>
  <c r="AA45" i="27"/>
  <c r="AA48" i="27" s="1"/>
  <c r="AB45" i="27"/>
  <c r="AB48" i="27" s="1"/>
  <c r="AC45" i="27"/>
  <c r="AC48" i="27" s="1"/>
  <c r="AD45" i="27"/>
  <c r="AD48" i="27" s="1"/>
  <c r="AE45" i="27"/>
  <c r="AE48" i="27" s="1"/>
  <c r="AF45" i="27"/>
  <c r="AF48" i="27" s="1"/>
  <c r="AG45" i="27"/>
  <c r="AG48" i="27" s="1"/>
  <c r="AH45" i="27"/>
  <c r="AH48" i="27" s="1"/>
  <c r="AI45" i="27"/>
  <c r="AI48" i="27" s="1"/>
  <c r="AJ45" i="27"/>
  <c r="AJ48" i="27" s="1"/>
  <c r="AK45" i="27"/>
  <c r="AK48" i="27" s="1"/>
  <c r="AL45" i="27"/>
  <c r="AL48" i="27" s="1"/>
  <c r="AM45" i="27"/>
  <c r="AM48" i="27" s="1"/>
  <c r="AN45" i="27"/>
  <c r="AN48" i="27" s="1"/>
  <c r="AO45" i="27"/>
  <c r="AO48" i="27" s="1"/>
  <c r="AP45" i="27"/>
  <c r="AP48" i="27" s="1"/>
  <c r="AQ45" i="27"/>
  <c r="AQ48" i="27" s="1"/>
  <c r="AR45" i="27"/>
  <c r="AR48" i="27" s="1"/>
  <c r="AS45" i="27"/>
  <c r="AS48" i="27" s="1"/>
  <c r="AT45" i="27"/>
  <c r="AT48" i="27" s="1"/>
  <c r="AU45" i="27"/>
  <c r="AU48" i="27" s="1"/>
  <c r="AV45" i="27"/>
  <c r="AV48" i="27" s="1"/>
  <c r="AW45" i="27"/>
  <c r="AW48" i="27" s="1"/>
  <c r="AX45" i="27"/>
  <c r="AX48" i="27" s="1"/>
  <c r="AY45" i="27"/>
  <c r="AY48" i="27" s="1"/>
  <c r="AZ45" i="27"/>
  <c r="AZ48" i="27" s="1"/>
  <c r="BA45" i="27"/>
  <c r="BA48" i="27" s="1"/>
  <c r="BB45" i="27"/>
  <c r="BB48" i="27" s="1"/>
  <c r="BC45" i="27"/>
  <c r="BC48" i="27" s="1"/>
  <c r="BD45" i="27"/>
  <c r="BD48" i="27" s="1"/>
  <c r="BE45" i="27"/>
  <c r="BE48" i="27" s="1"/>
  <c r="BF45" i="27"/>
  <c r="BF48" i="27" s="1"/>
  <c r="BG45" i="27"/>
  <c r="BG48" i="27" s="1"/>
  <c r="BH45" i="27"/>
  <c r="BH48" i="27" s="1"/>
  <c r="BI45" i="27"/>
  <c r="BI48" i="27" s="1"/>
  <c r="BJ45" i="27"/>
  <c r="BJ48" i="27" s="1"/>
  <c r="BK45" i="27"/>
  <c r="BK48" i="27" s="1"/>
  <c r="BL45" i="27"/>
  <c r="BL48" i="27" s="1"/>
  <c r="E45" i="27"/>
  <c r="E48" i="27" s="1"/>
  <c r="F35" i="27"/>
  <c r="F37" i="27" s="1"/>
  <c r="G35" i="27"/>
  <c r="G37" i="27" s="1"/>
  <c r="H35" i="27"/>
  <c r="H37" i="27" s="1"/>
  <c r="I35" i="27"/>
  <c r="I37" i="27" s="1"/>
  <c r="J35" i="27"/>
  <c r="J37" i="27" s="1"/>
  <c r="K35" i="27"/>
  <c r="K37" i="27" s="1"/>
  <c r="L35" i="27"/>
  <c r="L37" i="27" s="1"/>
  <c r="M35" i="27"/>
  <c r="M37" i="27" s="1"/>
  <c r="N35" i="27"/>
  <c r="N37" i="27" s="1"/>
  <c r="O35" i="27"/>
  <c r="O37" i="27" s="1"/>
  <c r="P35" i="27"/>
  <c r="P37" i="27" s="1"/>
  <c r="Q35" i="27"/>
  <c r="Q37" i="27" s="1"/>
  <c r="R35" i="27"/>
  <c r="R37" i="27" s="1"/>
  <c r="S35" i="27"/>
  <c r="S37" i="27" s="1"/>
  <c r="T35" i="27"/>
  <c r="T37" i="27" s="1"/>
  <c r="U35" i="27"/>
  <c r="U37" i="27" s="1"/>
  <c r="V35" i="27"/>
  <c r="V37" i="27" s="1"/>
  <c r="W35" i="27"/>
  <c r="W37" i="27" s="1"/>
  <c r="X35" i="27"/>
  <c r="X37" i="27" s="1"/>
  <c r="Y35" i="27"/>
  <c r="Y37" i="27" s="1"/>
  <c r="Z35" i="27"/>
  <c r="Z37" i="27" s="1"/>
  <c r="AA35" i="27"/>
  <c r="AA37" i="27" s="1"/>
  <c r="AB35" i="27"/>
  <c r="AB37" i="27" s="1"/>
  <c r="AC35" i="27"/>
  <c r="AC37" i="27" s="1"/>
  <c r="AD35" i="27"/>
  <c r="AE35" i="27"/>
  <c r="AE37" i="27" s="1"/>
  <c r="AF35" i="27"/>
  <c r="AF37" i="27" s="1"/>
  <c r="AG35" i="27"/>
  <c r="AG37" i="27" s="1"/>
  <c r="AH35" i="27"/>
  <c r="AH37" i="27" s="1"/>
  <c r="AI35" i="27"/>
  <c r="AI37" i="27" s="1"/>
  <c r="AJ35" i="27"/>
  <c r="AJ37" i="27" s="1"/>
  <c r="AK35" i="27"/>
  <c r="AK37" i="27" s="1"/>
  <c r="AL35" i="27"/>
  <c r="AL37" i="27" s="1"/>
  <c r="AM35" i="27"/>
  <c r="AM37" i="27" s="1"/>
  <c r="AN35" i="27"/>
  <c r="AN37" i="27" s="1"/>
  <c r="AO35" i="27"/>
  <c r="AO37" i="27" s="1"/>
  <c r="AP35" i="27"/>
  <c r="AP37" i="27" s="1"/>
  <c r="AQ35" i="27"/>
  <c r="AQ37" i="27" s="1"/>
  <c r="AR35" i="27"/>
  <c r="AR37" i="27" s="1"/>
  <c r="AS35" i="27"/>
  <c r="AS37" i="27" s="1"/>
  <c r="AT35" i="27"/>
  <c r="AT37" i="27" s="1"/>
  <c r="AU35" i="27"/>
  <c r="AU37" i="27" s="1"/>
  <c r="AV35" i="27"/>
  <c r="AV37" i="27" s="1"/>
  <c r="AW35" i="27"/>
  <c r="AW37" i="27" s="1"/>
  <c r="AX35" i="27"/>
  <c r="AX37" i="27" s="1"/>
  <c r="AY35" i="27"/>
  <c r="AY37" i="27" s="1"/>
  <c r="AZ35" i="27"/>
  <c r="AZ37" i="27" s="1"/>
  <c r="BA35" i="27"/>
  <c r="BA37" i="27" s="1"/>
  <c r="BB35" i="27"/>
  <c r="BB37" i="27" s="1"/>
  <c r="BC35" i="27"/>
  <c r="BC37" i="27" s="1"/>
  <c r="BD35" i="27"/>
  <c r="BD37" i="27" s="1"/>
  <c r="BE35" i="27"/>
  <c r="BE37" i="27" s="1"/>
  <c r="BF35" i="27"/>
  <c r="BF37" i="27" s="1"/>
  <c r="BG35" i="27"/>
  <c r="BG37" i="27" s="1"/>
  <c r="BH35" i="27"/>
  <c r="BH37" i="27" s="1"/>
  <c r="BI35" i="27"/>
  <c r="BI37" i="27" s="1"/>
  <c r="BJ35" i="27"/>
  <c r="BJ37" i="27" s="1"/>
  <c r="BK35" i="27"/>
  <c r="BK37" i="27" s="1"/>
  <c r="BL35" i="27"/>
  <c r="BL37" i="27" s="1"/>
  <c r="E35" i="27"/>
  <c r="E37" i="27" s="1"/>
  <c r="AD37" i="27"/>
  <c r="F32" i="27"/>
  <c r="F34" i="27" s="1"/>
  <c r="G32" i="27"/>
  <c r="G34" i="27" s="1"/>
  <c r="H32" i="27"/>
  <c r="H34" i="27" s="1"/>
  <c r="I32" i="27"/>
  <c r="I34" i="27" s="1"/>
  <c r="J32" i="27"/>
  <c r="J34" i="27" s="1"/>
  <c r="K32" i="27"/>
  <c r="K34" i="27" s="1"/>
  <c r="L32" i="27"/>
  <c r="L34" i="27" s="1"/>
  <c r="M32" i="27"/>
  <c r="M34" i="27" s="1"/>
  <c r="N32" i="27"/>
  <c r="N34" i="27" s="1"/>
  <c r="O32" i="27"/>
  <c r="O34" i="27" s="1"/>
  <c r="P32" i="27"/>
  <c r="P34" i="27" s="1"/>
  <c r="Q32" i="27"/>
  <c r="Q34" i="27" s="1"/>
  <c r="R32" i="27"/>
  <c r="R34" i="27" s="1"/>
  <c r="S32" i="27"/>
  <c r="S34" i="27" s="1"/>
  <c r="T32" i="27"/>
  <c r="T34" i="27" s="1"/>
  <c r="U32" i="27"/>
  <c r="U34" i="27" s="1"/>
  <c r="V32" i="27"/>
  <c r="V34" i="27" s="1"/>
  <c r="W32" i="27"/>
  <c r="W34" i="27" s="1"/>
  <c r="X32" i="27"/>
  <c r="X34" i="27" s="1"/>
  <c r="Y32" i="27"/>
  <c r="Y34" i="27" s="1"/>
  <c r="Z32" i="27"/>
  <c r="Z34" i="27" s="1"/>
  <c r="AA32" i="27"/>
  <c r="AA34" i="27" s="1"/>
  <c r="AB32" i="27"/>
  <c r="AB34" i="27" s="1"/>
  <c r="AC32" i="27"/>
  <c r="AC34" i="27" s="1"/>
  <c r="AD32" i="27"/>
  <c r="AD34" i="27" s="1"/>
  <c r="AE32" i="27"/>
  <c r="AE34" i="27" s="1"/>
  <c r="AF32" i="27"/>
  <c r="AF34" i="27" s="1"/>
  <c r="AG32" i="27"/>
  <c r="AG34" i="27" s="1"/>
  <c r="AH32" i="27"/>
  <c r="AH34" i="27" s="1"/>
  <c r="AI32" i="27"/>
  <c r="AI34" i="27" s="1"/>
  <c r="AJ32" i="27"/>
  <c r="AJ34" i="27" s="1"/>
  <c r="AK32" i="27"/>
  <c r="AK34" i="27" s="1"/>
  <c r="AL32" i="27"/>
  <c r="AL34" i="27" s="1"/>
  <c r="AM32" i="27"/>
  <c r="AM34" i="27" s="1"/>
  <c r="AN32" i="27"/>
  <c r="AN34" i="27" s="1"/>
  <c r="AO32" i="27"/>
  <c r="AO34" i="27" s="1"/>
  <c r="AP32" i="27"/>
  <c r="AP34" i="27" s="1"/>
  <c r="AQ32" i="27"/>
  <c r="AQ34" i="27" s="1"/>
  <c r="AR32" i="27"/>
  <c r="AR34" i="27" s="1"/>
  <c r="AS32" i="27"/>
  <c r="AS34" i="27" s="1"/>
  <c r="AT32" i="27"/>
  <c r="AT34" i="27" s="1"/>
  <c r="AU32" i="27"/>
  <c r="AU34" i="27" s="1"/>
  <c r="AV32" i="27"/>
  <c r="AV34" i="27" s="1"/>
  <c r="AW32" i="27"/>
  <c r="AW34" i="27" s="1"/>
  <c r="AX32" i="27"/>
  <c r="AX34" i="27" s="1"/>
  <c r="AY32" i="27"/>
  <c r="AY34" i="27" s="1"/>
  <c r="AZ32" i="27"/>
  <c r="AZ34" i="27" s="1"/>
  <c r="BA32" i="27"/>
  <c r="BA34" i="27" s="1"/>
  <c r="BB32" i="27"/>
  <c r="BB34" i="27" s="1"/>
  <c r="BC32" i="27"/>
  <c r="BC34" i="27" s="1"/>
  <c r="BD32" i="27"/>
  <c r="BD34" i="27" s="1"/>
  <c r="BE32" i="27"/>
  <c r="BE34" i="27" s="1"/>
  <c r="BF32" i="27"/>
  <c r="BF34" i="27" s="1"/>
  <c r="BG32" i="27"/>
  <c r="BG34" i="27" s="1"/>
  <c r="BH32" i="27"/>
  <c r="BH34" i="27" s="1"/>
  <c r="BI32" i="27"/>
  <c r="BI34" i="27" s="1"/>
  <c r="BJ32" i="27"/>
  <c r="BJ34" i="27" s="1"/>
  <c r="BK32" i="27"/>
  <c r="BK34" i="27" s="1"/>
  <c r="BL32" i="27"/>
  <c r="BL34" i="27" s="1"/>
  <c r="E32" i="27"/>
  <c r="E34" i="27" s="1"/>
  <c r="F29" i="27"/>
  <c r="F31" i="27" s="1"/>
  <c r="G29" i="27"/>
  <c r="G31" i="27" s="1"/>
  <c r="H29" i="27"/>
  <c r="H31" i="27" s="1"/>
  <c r="I29" i="27"/>
  <c r="I31" i="27" s="1"/>
  <c r="J29" i="27"/>
  <c r="J31" i="27" s="1"/>
  <c r="K29" i="27"/>
  <c r="K31" i="27" s="1"/>
  <c r="L29" i="27"/>
  <c r="L31" i="27" s="1"/>
  <c r="M29" i="27"/>
  <c r="M31" i="27" s="1"/>
  <c r="N29" i="27"/>
  <c r="N31" i="27" s="1"/>
  <c r="O29" i="27"/>
  <c r="O31" i="27" s="1"/>
  <c r="P29" i="27"/>
  <c r="P31" i="27" s="1"/>
  <c r="Q29" i="27"/>
  <c r="Q31" i="27" s="1"/>
  <c r="R29" i="27"/>
  <c r="R31" i="27" s="1"/>
  <c r="S29" i="27"/>
  <c r="S31" i="27" s="1"/>
  <c r="T29" i="27"/>
  <c r="T31" i="27" s="1"/>
  <c r="U29" i="27"/>
  <c r="U31" i="27" s="1"/>
  <c r="V29" i="27"/>
  <c r="V31" i="27" s="1"/>
  <c r="W29" i="27"/>
  <c r="W31" i="27" s="1"/>
  <c r="X29" i="27"/>
  <c r="X31" i="27" s="1"/>
  <c r="Y29" i="27"/>
  <c r="Y31" i="27" s="1"/>
  <c r="Z29" i="27"/>
  <c r="Z31" i="27" s="1"/>
  <c r="AA29" i="27"/>
  <c r="AA31" i="27" s="1"/>
  <c r="AB29" i="27"/>
  <c r="AB31" i="27" s="1"/>
  <c r="AC29" i="27"/>
  <c r="AC31" i="27" s="1"/>
  <c r="AD29" i="27"/>
  <c r="AD31" i="27" s="1"/>
  <c r="AE29" i="27"/>
  <c r="AE31" i="27" s="1"/>
  <c r="AF29" i="27"/>
  <c r="AF31" i="27" s="1"/>
  <c r="AG29" i="27"/>
  <c r="AG31" i="27" s="1"/>
  <c r="AH29" i="27"/>
  <c r="AH31" i="27" s="1"/>
  <c r="AI29" i="27"/>
  <c r="AI31" i="27" s="1"/>
  <c r="AJ29" i="27"/>
  <c r="AJ31" i="27" s="1"/>
  <c r="AK29" i="27"/>
  <c r="AK31" i="27" s="1"/>
  <c r="AL29" i="27"/>
  <c r="AL31" i="27" s="1"/>
  <c r="AM29" i="27"/>
  <c r="AM31" i="27" s="1"/>
  <c r="AN29" i="27"/>
  <c r="AN31" i="27" s="1"/>
  <c r="AO29" i="27"/>
  <c r="AO31" i="27" s="1"/>
  <c r="AP29" i="27"/>
  <c r="AP31" i="27" s="1"/>
  <c r="AQ29" i="27"/>
  <c r="AQ31" i="27" s="1"/>
  <c r="AR29" i="27"/>
  <c r="AR31" i="27" s="1"/>
  <c r="AS29" i="27"/>
  <c r="AS31" i="27" s="1"/>
  <c r="AT29" i="27"/>
  <c r="AT31" i="27" s="1"/>
  <c r="AU29" i="27"/>
  <c r="AU31" i="27" s="1"/>
  <c r="AV29" i="27"/>
  <c r="AV31" i="27" s="1"/>
  <c r="AW29" i="27"/>
  <c r="AW31" i="27" s="1"/>
  <c r="AX29" i="27"/>
  <c r="AX31" i="27" s="1"/>
  <c r="AY29" i="27"/>
  <c r="AY31" i="27" s="1"/>
  <c r="AZ29" i="27"/>
  <c r="AZ31" i="27" s="1"/>
  <c r="BA29" i="27"/>
  <c r="BA31" i="27" s="1"/>
  <c r="BB29" i="27"/>
  <c r="BB31" i="27" s="1"/>
  <c r="BC29" i="27"/>
  <c r="BC31" i="27" s="1"/>
  <c r="BD29" i="27"/>
  <c r="BD31" i="27" s="1"/>
  <c r="BE29" i="27"/>
  <c r="BE31" i="27" s="1"/>
  <c r="BF29" i="27"/>
  <c r="BF31" i="27" s="1"/>
  <c r="BG29" i="27"/>
  <c r="BG31" i="27" s="1"/>
  <c r="BH29" i="27"/>
  <c r="BH31" i="27" s="1"/>
  <c r="BI29" i="27"/>
  <c r="BI31" i="27" s="1"/>
  <c r="BJ29" i="27"/>
  <c r="BJ31" i="27" s="1"/>
  <c r="BK29" i="27"/>
  <c r="BK31" i="27" s="1"/>
  <c r="BL29" i="27"/>
  <c r="BL31" i="27" s="1"/>
  <c r="E29" i="27"/>
  <c r="E31" i="27" s="1"/>
  <c r="F23" i="27"/>
  <c r="F25" i="27" s="1"/>
  <c r="G23" i="27"/>
  <c r="G25" i="27" s="1"/>
  <c r="H23" i="27"/>
  <c r="H25" i="27" s="1"/>
  <c r="I23" i="27"/>
  <c r="I25" i="27" s="1"/>
  <c r="J23" i="27"/>
  <c r="J25" i="27" s="1"/>
  <c r="K23" i="27"/>
  <c r="K25" i="27" s="1"/>
  <c r="L23" i="27"/>
  <c r="L25" i="27" s="1"/>
  <c r="M23" i="27"/>
  <c r="M25" i="27" s="1"/>
  <c r="N23" i="27"/>
  <c r="N25" i="27" s="1"/>
  <c r="O23" i="27"/>
  <c r="O25" i="27" s="1"/>
  <c r="P23" i="27"/>
  <c r="P25" i="27" s="1"/>
  <c r="Q23" i="27"/>
  <c r="Q25" i="27" s="1"/>
  <c r="R23" i="27"/>
  <c r="R25" i="27" s="1"/>
  <c r="S23" i="27"/>
  <c r="S25" i="27" s="1"/>
  <c r="T23" i="27"/>
  <c r="T25" i="27" s="1"/>
  <c r="U23" i="27"/>
  <c r="U25" i="27" s="1"/>
  <c r="V23" i="27"/>
  <c r="V25" i="27" s="1"/>
  <c r="W23" i="27"/>
  <c r="W25" i="27" s="1"/>
  <c r="X23" i="27"/>
  <c r="X25" i="27" s="1"/>
  <c r="Y23" i="27"/>
  <c r="Y25" i="27" s="1"/>
  <c r="Z23" i="27"/>
  <c r="Z25" i="27" s="1"/>
  <c r="AA23" i="27"/>
  <c r="AA25" i="27" s="1"/>
  <c r="AB23" i="27"/>
  <c r="AB25" i="27" s="1"/>
  <c r="AC23" i="27"/>
  <c r="AC25" i="27" s="1"/>
  <c r="AD23" i="27"/>
  <c r="AD25" i="27" s="1"/>
  <c r="AE23" i="27"/>
  <c r="AE25" i="27" s="1"/>
  <c r="AF23" i="27"/>
  <c r="AF25" i="27" s="1"/>
  <c r="AG23" i="27"/>
  <c r="AG25" i="27" s="1"/>
  <c r="AH23" i="27"/>
  <c r="AH25" i="27" s="1"/>
  <c r="AI23" i="27"/>
  <c r="AI25" i="27" s="1"/>
  <c r="AJ23" i="27"/>
  <c r="AJ25" i="27" s="1"/>
  <c r="AK23" i="27"/>
  <c r="AK25" i="27" s="1"/>
  <c r="AL23" i="27"/>
  <c r="AL25" i="27" s="1"/>
  <c r="AM23" i="27"/>
  <c r="AM25" i="27" s="1"/>
  <c r="AN23" i="27"/>
  <c r="AN25" i="27" s="1"/>
  <c r="AO23" i="27"/>
  <c r="AO25" i="27" s="1"/>
  <c r="AP23" i="27"/>
  <c r="AP25" i="27" s="1"/>
  <c r="AQ23" i="27"/>
  <c r="AQ25" i="27" s="1"/>
  <c r="AR23" i="27"/>
  <c r="AR25" i="27" s="1"/>
  <c r="AS23" i="27"/>
  <c r="AS25" i="27" s="1"/>
  <c r="AT23" i="27"/>
  <c r="AT25" i="27" s="1"/>
  <c r="AU23" i="27"/>
  <c r="AU25" i="27" s="1"/>
  <c r="AV23" i="27"/>
  <c r="AV25" i="27" s="1"/>
  <c r="AW23" i="27"/>
  <c r="AW25" i="27" s="1"/>
  <c r="AX23" i="27"/>
  <c r="AX25" i="27" s="1"/>
  <c r="AY23" i="27"/>
  <c r="AY25" i="27" s="1"/>
  <c r="AZ23" i="27"/>
  <c r="AZ25" i="27" s="1"/>
  <c r="BA23" i="27"/>
  <c r="BA25" i="27" s="1"/>
  <c r="BB23" i="27"/>
  <c r="BB25" i="27" s="1"/>
  <c r="BC23" i="27"/>
  <c r="BC25" i="27" s="1"/>
  <c r="BD23" i="27"/>
  <c r="BD25" i="27" s="1"/>
  <c r="BE23" i="27"/>
  <c r="BE25" i="27" s="1"/>
  <c r="BF23" i="27"/>
  <c r="BF25" i="27" s="1"/>
  <c r="BG23" i="27"/>
  <c r="BG25" i="27" s="1"/>
  <c r="BH23" i="27"/>
  <c r="BH25" i="27" s="1"/>
  <c r="BI23" i="27"/>
  <c r="BI25" i="27" s="1"/>
  <c r="BJ23" i="27"/>
  <c r="BJ25" i="27" s="1"/>
  <c r="BK23" i="27"/>
  <c r="BK25" i="27" s="1"/>
  <c r="BL23" i="27"/>
  <c r="BL25" i="27" s="1"/>
  <c r="E23" i="27"/>
  <c r="E25" i="27" s="1"/>
  <c r="F20" i="27"/>
  <c r="F22" i="27" s="1"/>
  <c r="G20" i="27"/>
  <c r="G22" i="27" s="1"/>
  <c r="H20" i="27"/>
  <c r="H22" i="27" s="1"/>
  <c r="I20" i="27"/>
  <c r="I22" i="27" s="1"/>
  <c r="J20" i="27"/>
  <c r="J22" i="27" s="1"/>
  <c r="K20" i="27"/>
  <c r="K22" i="27" s="1"/>
  <c r="L20" i="27"/>
  <c r="L22" i="27" s="1"/>
  <c r="M20" i="27"/>
  <c r="M22" i="27" s="1"/>
  <c r="N20" i="27"/>
  <c r="N22" i="27" s="1"/>
  <c r="O20" i="27"/>
  <c r="O22" i="27" s="1"/>
  <c r="P20" i="27"/>
  <c r="P22" i="27" s="1"/>
  <c r="Q20" i="27"/>
  <c r="Q22" i="27" s="1"/>
  <c r="R20" i="27"/>
  <c r="R22" i="27" s="1"/>
  <c r="S20" i="27"/>
  <c r="S22" i="27" s="1"/>
  <c r="T20" i="27"/>
  <c r="T22" i="27" s="1"/>
  <c r="U20" i="27"/>
  <c r="U22" i="27" s="1"/>
  <c r="V20" i="27"/>
  <c r="V22" i="27" s="1"/>
  <c r="W20" i="27"/>
  <c r="W22" i="27" s="1"/>
  <c r="X20" i="27"/>
  <c r="X22" i="27" s="1"/>
  <c r="Y20" i="27"/>
  <c r="Y22" i="27" s="1"/>
  <c r="Z20" i="27"/>
  <c r="Z22" i="27" s="1"/>
  <c r="AA20" i="27"/>
  <c r="AA22" i="27" s="1"/>
  <c r="AB20" i="27"/>
  <c r="AB22" i="27" s="1"/>
  <c r="AC20" i="27"/>
  <c r="AC22" i="27" s="1"/>
  <c r="AD20" i="27"/>
  <c r="AD22" i="27" s="1"/>
  <c r="AE20" i="27"/>
  <c r="AE22" i="27" s="1"/>
  <c r="AF20" i="27"/>
  <c r="AF22" i="27" s="1"/>
  <c r="AG20" i="27"/>
  <c r="AG22" i="27" s="1"/>
  <c r="AH20" i="27"/>
  <c r="AH22" i="27" s="1"/>
  <c r="AI20" i="27"/>
  <c r="AI22" i="27" s="1"/>
  <c r="AJ20" i="27"/>
  <c r="AJ22" i="27" s="1"/>
  <c r="AK20" i="27"/>
  <c r="AK22" i="27" s="1"/>
  <c r="AL20" i="27"/>
  <c r="AL22" i="27" s="1"/>
  <c r="AM20" i="27"/>
  <c r="AM22" i="27" s="1"/>
  <c r="AN20" i="27"/>
  <c r="AN22" i="27" s="1"/>
  <c r="AO20" i="27"/>
  <c r="AO22" i="27" s="1"/>
  <c r="AP20" i="27"/>
  <c r="AP22" i="27" s="1"/>
  <c r="AQ20" i="27"/>
  <c r="AQ22" i="27" s="1"/>
  <c r="AR20" i="27"/>
  <c r="AR22" i="27" s="1"/>
  <c r="AS20" i="27"/>
  <c r="AS22" i="27" s="1"/>
  <c r="AT20" i="27"/>
  <c r="AT22" i="27" s="1"/>
  <c r="AU20" i="27"/>
  <c r="AU22" i="27" s="1"/>
  <c r="AV20" i="27"/>
  <c r="AV22" i="27" s="1"/>
  <c r="AW20" i="27"/>
  <c r="AW22" i="27" s="1"/>
  <c r="AX20" i="27"/>
  <c r="AX22" i="27" s="1"/>
  <c r="AY20" i="27"/>
  <c r="AY22" i="27" s="1"/>
  <c r="AZ20" i="27"/>
  <c r="AZ22" i="27" s="1"/>
  <c r="BA20" i="27"/>
  <c r="BA22" i="27" s="1"/>
  <c r="BB20" i="27"/>
  <c r="BB22" i="27" s="1"/>
  <c r="BC20" i="27"/>
  <c r="BC22" i="27" s="1"/>
  <c r="BD20" i="27"/>
  <c r="BD22" i="27" s="1"/>
  <c r="BE20" i="27"/>
  <c r="BE22" i="27" s="1"/>
  <c r="BF20" i="27"/>
  <c r="BF22" i="27" s="1"/>
  <c r="BG20" i="27"/>
  <c r="BG22" i="27" s="1"/>
  <c r="BH20" i="27"/>
  <c r="BH22" i="27" s="1"/>
  <c r="BI20" i="27"/>
  <c r="BI22" i="27" s="1"/>
  <c r="BJ20" i="27"/>
  <c r="BJ22" i="27" s="1"/>
  <c r="BK20" i="27"/>
  <c r="BK22" i="27" s="1"/>
  <c r="BL20" i="27"/>
  <c r="BL22" i="27" s="1"/>
  <c r="E20" i="27"/>
  <c r="E22" i="27" s="1"/>
  <c r="F17" i="27"/>
  <c r="G17" i="27"/>
  <c r="H17" i="27"/>
  <c r="I17" i="27"/>
  <c r="J17" i="27"/>
  <c r="K17" i="27"/>
  <c r="L17" i="27"/>
  <c r="M17" i="27"/>
  <c r="N17" i="27"/>
  <c r="O17" i="27"/>
  <c r="P17" i="27"/>
  <c r="Q17" i="27"/>
  <c r="Q19" i="27" s="1"/>
  <c r="R17" i="27"/>
  <c r="R19" i="27" s="1"/>
  <c r="S17" i="27"/>
  <c r="S19" i="27" s="1"/>
  <c r="T17" i="27"/>
  <c r="T19" i="27" s="1"/>
  <c r="U17" i="27"/>
  <c r="V17" i="27"/>
  <c r="W17" i="27"/>
  <c r="W19" i="27" s="1"/>
  <c r="X17" i="27"/>
  <c r="Y17" i="27"/>
  <c r="Y19" i="27" s="1"/>
  <c r="Z17" i="27"/>
  <c r="Z19" i="27" s="1"/>
  <c r="AA17" i="27"/>
  <c r="AA19" i="27" s="1"/>
  <c r="AB17" i="27"/>
  <c r="AC17" i="27"/>
  <c r="AD17" i="27"/>
  <c r="AD19" i="27" s="1"/>
  <c r="AE17" i="27"/>
  <c r="AE19" i="27" s="1"/>
  <c r="AF17" i="27"/>
  <c r="AG17" i="27"/>
  <c r="AH17" i="27"/>
  <c r="AH19" i="27" s="1"/>
  <c r="AI17" i="27"/>
  <c r="AI19" i="27" s="1"/>
  <c r="AJ17" i="27"/>
  <c r="AJ19" i="27" s="1"/>
  <c r="AK17" i="27"/>
  <c r="AK19" i="27" s="1"/>
  <c r="AL17" i="27"/>
  <c r="AL19" i="27" s="1"/>
  <c r="AM17" i="27"/>
  <c r="AM19" i="27" s="1"/>
  <c r="AN17" i="27"/>
  <c r="AO17" i="27"/>
  <c r="AO19" i="27" s="1"/>
  <c r="AP17" i="27"/>
  <c r="AQ17" i="27"/>
  <c r="AQ19" i="27" s="1"/>
  <c r="AR17" i="27"/>
  <c r="AS17" i="27"/>
  <c r="AS19" i="27" s="1"/>
  <c r="AT17" i="27"/>
  <c r="AT19" i="27" s="1"/>
  <c r="AU17" i="27"/>
  <c r="AU19" i="27" s="1"/>
  <c r="AV17" i="27"/>
  <c r="AW17" i="27"/>
  <c r="AW19" i="27" s="1"/>
  <c r="AX17" i="27"/>
  <c r="AX19" i="27" s="1"/>
  <c r="AY17" i="27"/>
  <c r="AY19" i="27" s="1"/>
  <c r="AZ17" i="27"/>
  <c r="AZ19" i="27" s="1"/>
  <c r="BA17" i="27"/>
  <c r="BB17" i="27"/>
  <c r="BB19" i="27" s="1"/>
  <c r="BC17" i="27"/>
  <c r="BC19" i="27" s="1"/>
  <c r="BD17" i="27"/>
  <c r="BE17" i="27"/>
  <c r="BE19" i="27" s="1"/>
  <c r="BF17" i="27"/>
  <c r="BF19" i="27" s="1"/>
  <c r="BG17" i="27"/>
  <c r="BG19" i="27" s="1"/>
  <c r="BH17" i="27"/>
  <c r="BI17" i="27"/>
  <c r="BJ17" i="27"/>
  <c r="BJ19" i="27" s="1"/>
  <c r="BK17" i="27"/>
  <c r="BK19" i="27" s="1"/>
  <c r="BL17" i="27"/>
  <c r="E17" i="27"/>
  <c r="F19" i="27"/>
  <c r="G19" i="27"/>
  <c r="H19" i="27"/>
  <c r="I19" i="27"/>
  <c r="J19" i="27"/>
  <c r="K19" i="27"/>
  <c r="L19" i="27"/>
  <c r="M19" i="27"/>
  <c r="N19" i="27"/>
  <c r="O19" i="27"/>
  <c r="P19" i="27"/>
  <c r="U19" i="27"/>
  <c r="V19" i="27"/>
  <c r="X19" i="27"/>
  <c r="AB19" i="27"/>
  <c r="AC19" i="27"/>
  <c r="AF19" i="27"/>
  <c r="AG19" i="27"/>
  <c r="AN19" i="27"/>
  <c r="AP19" i="27"/>
  <c r="AR19" i="27"/>
  <c r="AV19" i="27"/>
  <c r="BA19" i="27"/>
  <c r="BD19" i="27"/>
  <c r="BH19" i="27"/>
  <c r="BI19" i="27"/>
  <c r="BL19" i="27"/>
  <c r="E19" i="27"/>
  <c r="B17" i="27"/>
  <c r="B53" i="28" s="1" a="1"/>
  <c r="B53" i="28" s="1"/>
  <c r="F14" i="27"/>
  <c r="F16" i="27" s="1"/>
  <c r="G14" i="27"/>
  <c r="G16" i="27" s="1"/>
  <c r="H14" i="27"/>
  <c r="H16" i="27" s="1"/>
  <c r="I14" i="27"/>
  <c r="I16" i="27" s="1"/>
  <c r="J14" i="27"/>
  <c r="J16" i="27" s="1"/>
  <c r="K14" i="27"/>
  <c r="K16" i="27" s="1"/>
  <c r="L14" i="27"/>
  <c r="L16" i="27" s="1"/>
  <c r="M14" i="27"/>
  <c r="M16" i="27" s="1"/>
  <c r="N14" i="27"/>
  <c r="N16" i="27" s="1"/>
  <c r="O14" i="27"/>
  <c r="O16" i="27" s="1"/>
  <c r="P14" i="27"/>
  <c r="P16" i="27" s="1"/>
  <c r="Q14" i="27"/>
  <c r="Q16" i="27" s="1"/>
  <c r="R14" i="27"/>
  <c r="R16" i="27" s="1"/>
  <c r="S14" i="27"/>
  <c r="S16" i="27" s="1"/>
  <c r="T14" i="27"/>
  <c r="T16" i="27" s="1"/>
  <c r="U14" i="27"/>
  <c r="U16" i="27" s="1"/>
  <c r="V14" i="27"/>
  <c r="V16" i="27" s="1"/>
  <c r="W14" i="27"/>
  <c r="W16" i="27" s="1"/>
  <c r="X14" i="27"/>
  <c r="X16" i="27" s="1"/>
  <c r="Y14" i="27"/>
  <c r="Y16" i="27" s="1"/>
  <c r="Z14" i="27"/>
  <c r="Z16" i="27" s="1"/>
  <c r="AA14" i="27"/>
  <c r="AA16" i="27" s="1"/>
  <c r="AB14" i="27"/>
  <c r="AB16" i="27" s="1"/>
  <c r="AC14" i="27"/>
  <c r="AC16" i="27" s="1"/>
  <c r="AD14" i="27"/>
  <c r="AD16" i="27" s="1"/>
  <c r="AE14" i="27"/>
  <c r="AE16" i="27" s="1"/>
  <c r="AF14" i="27"/>
  <c r="AF16" i="27" s="1"/>
  <c r="AG14" i="27"/>
  <c r="AG16" i="27" s="1"/>
  <c r="AH14" i="27"/>
  <c r="AH16" i="27" s="1"/>
  <c r="AI14" i="27"/>
  <c r="AI16" i="27" s="1"/>
  <c r="AJ14" i="27"/>
  <c r="AJ16" i="27" s="1"/>
  <c r="AK14" i="27"/>
  <c r="AK16" i="27" s="1"/>
  <c r="AL14" i="27"/>
  <c r="AL16" i="27" s="1"/>
  <c r="AM14" i="27"/>
  <c r="AM16" i="27" s="1"/>
  <c r="AN14" i="27"/>
  <c r="AN16" i="27" s="1"/>
  <c r="AO14" i="27"/>
  <c r="AO16" i="27" s="1"/>
  <c r="AP14" i="27"/>
  <c r="AP16" i="27" s="1"/>
  <c r="AQ14" i="27"/>
  <c r="AQ16" i="27" s="1"/>
  <c r="AR14" i="27"/>
  <c r="AR16" i="27" s="1"/>
  <c r="AS14" i="27"/>
  <c r="AS16" i="27" s="1"/>
  <c r="AT14" i="27"/>
  <c r="AT16" i="27" s="1"/>
  <c r="AU14" i="27"/>
  <c r="AU16" i="27" s="1"/>
  <c r="AV14" i="27"/>
  <c r="AV16" i="27" s="1"/>
  <c r="AW14" i="27"/>
  <c r="AW16" i="27" s="1"/>
  <c r="AX14" i="27"/>
  <c r="AX16" i="27" s="1"/>
  <c r="AY14" i="27"/>
  <c r="AY16" i="27" s="1"/>
  <c r="AZ14" i="27"/>
  <c r="AZ16" i="27" s="1"/>
  <c r="BA14" i="27"/>
  <c r="BA16" i="27" s="1"/>
  <c r="BB14" i="27"/>
  <c r="BB16" i="27" s="1"/>
  <c r="BC14" i="27"/>
  <c r="BC16" i="27" s="1"/>
  <c r="BD14" i="27"/>
  <c r="BD16" i="27" s="1"/>
  <c r="BE14" i="27"/>
  <c r="BE16" i="27" s="1"/>
  <c r="BF14" i="27"/>
  <c r="BF16" i="27" s="1"/>
  <c r="BG14" i="27"/>
  <c r="BG16" i="27" s="1"/>
  <c r="BH14" i="27"/>
  <c r="BH16" i="27" s="1"/>
  <c r="BI14" i="27"/>
  <c r="BI16" i="27" s="1"/>
  <c r="BJ14" i="27"/>
  <c r="BJ16" i="27" s="1"/>
  <c r="BK14" i="27"/>
  <c r="BK16" i="27" s="1"/>
  <c r="BL14" i="27"/>
  <c r="BL16" i="27" s="1"/>
  <c r="E14" i="27"/>
  <c r="E16" i="27" s="1"/>
  <c r="E7" i="27"/>
  <c r="F7" i="27" s="1"/>
  <c r="G7" i="27" s="1"/>
  <c r="H7" i="27" s="1"/>
  <c r="BH2" i="27"/>
  <c r="BI2" i="27"/>
  <c r="BJ2" i="27"/>
  <c r="BK2" i="27"/>
  <c r="BL2" i="27"/>
  <c r="F2" i="27"/>
  <c r="G2" i="27"/>
  <c r="G73" i="27" s="1"/>
  <c r="H2" i="27"/>
  <c r="I2" i="27"/>
  <c r="I73" i="27" s="1"/>
  <c r="J2" i="27"/>
  <c r="K2" i="27"/>
  <c r="K73" i="27" s="1"/>
  <c r="L2" i="27"/>
  <c r="M2" i="27"/>
  <c r="M73" i="27" s="1"/>
  <c r="N2" i="27"/>
  <c r="O2" i="27"/>
  <c r="O73" i="27" s="1"/>
  <c r="P2" i="27"/>
  <c r="Q2" i="27"/>
  <c r="R2" i="27"/>
  <c r="S2" i="27"/>
  <c r="T2" i="27"/>
  <c r="U2" i="27"/>
  <c r="V2" i="27"/>
  <c r="W2" i="27"/>
  <c r="X2" i="27"/>
  <c r="Y2" i="27"/>
  <c r="Z2" i="27"/>
  <c r="AA2" i="27"/>
  <c r="AB2" i="27"/>
  <c r="AC2" i="27"/>
  <c r="AD2" i="27"/>
  <c r="AE2" i="27"/>
  <c r="AF2" i="27"/>
  <c r="AG2" i="27"/>
  <c r="AH2" i="27"/>
  <c r="AI2" i="27"/>
  <c r="AJ2" i="27"/>
  <c r="AK2" i="27"/>
  <c r="AL2" i="27"/>
  <c r="AM2" i="27"/>
  <c r="AN2" i="27"/>
  <c r="AO2" i="27"/>
  <c r="AP2" i="27"/>
  <c r="AQ2" i="27"/>
  <c r="AR2" i="27"/>
  <c r="AS2" i="27"/>
  <c r="AT2" i="27"/>
  <c r="AU2" i="27"/>
  <c r="AV2" i="27"/>
  <c r="AW2" i="27"/>
  <c r="AX2" i="27"/>
  <c r="AY2" i="27"/>
  <c r="AZ2" i="27"/>
  <c r="BA2" i="27"/>
  <c r="BB2" i="27"/>
  <c r="BC2" i="27"/>
  <c r="BD2" i="27"/>
  <c r="BE2" i="27"/>
  <c r="BF2" i="27"/>
  <c r="BG2" i="27"/>
  <c r="E2" i="27"/>
  <c r="D88" i="30" l="1"/>
  <c r="E67" i="11" s="1"/>
  <c r="F88" i="30"/>
  <c r="F89" i="30" s="1"/>
  <c r="C89" i="30"/>
  <c r="H36" i="13"/>
  <c r="I92" i="25"/>
  <c r="I94" i="25" s="1"/>
  <c r="J59" i="31"/>
  <c r="I64" i="31"/>
  <c r="I70" i="31" s="1"/>
  <c r="J55" i="31"/>
  <c r="I35" i="31"/>
  <c r="I39" i="31" s="1"/>
  <c r="I48" i="31" s="1"/>
  <c r="H51" i="31"/>
  <c r="B88" i="30"/>
  <c r="B89" i="30" s="1"/>
  <c r="E89" i="30"/>
  <c r="F67" i="11"/>
  <c r="I66" i="25"/>
  <c r="E65" i="29"/>
  <c r="E57" i="29"/>
  <c r="F78" i="29"/>
  <c r="F84" i="29" s="1"/>
  <c r="G69" i="29"/>
  <c r="F41" i="29"/>
  <c r="J73" i="27"/>
  <c r="N73" i="27"/>
  <c r="F73" i="27"/>
  <c r="P73" i="27"/>
  <c r="L73" i="27"/>
  <c r="H73" i="27"/>
  <c r="Q73" i="27"/>
  <c r="Q81" i="27"/>
  <c r="Y81" i="27"/>
  <c r="AK81" i="27"/>
  <c r="AW81" i="27"/>
  <c r="BE81" i="27"/>
  <c r="M81" i="27"/>
  <c r="BA81" i="27"/>
  <c r="R73" i="27"/>
  <c r="I7" i="27"/>
  <c r="D89" i="30" l="1"/>
  <c r="G67" i="11"/>
  <c r="C67" i="11"/>
  <c r="J92" i="25"/>
  <c r="J94" i="25" s="1"/>
  <c r="K59" i="31"/>
  <c r="K55" i="31"/>
  <c r="J64" i="31"/>
  <c r="J70" i="31" s="1"/>
  <c r="J35" i="31"/>
  <c r="J39" i="31" s="1"/>
  <c r="J48" i="31" s="1"/>
  <c r="I51" i="31"/>
  <c r="F57" i="29"/>
  <c r="F65" i="29"/>
  <c r="G78" i="29"/>
  <c r="G84" i="29" s="1"/>
  <c r="H69" i="29"/>
  <c r="G41" i="29"/>
  <c r="S73" i="27"/>
  <c r="J7" i="27"/>
  <c r="J36" i="13" l="1"/>
  <c r="K92" i="25"/>
  <c r="K94" i="25" s="1"/>
  <c r="L59" i="31"/>
  <c r="J51" i="31"/>
  <c r="L55" i="31"/>
  <c r="K64" i="31"/>
  <c r="K70" i="31" s="1"/>
  <c r="K35" i="31"/>
  <c r="K39" i="31" s="1"/>
  <c r="K48" i="31" s="1"/>
  <c r="G65" i="29"/>
  <c r="G57" i="29"/>
  <c r="H78" i="29"/>
  <c r="H84" i="29" s="1"/>
  <c r="I69" i="29"/>
  <c r="H41" i="29"/>
  <c r="T73" i="27"/>
  <c r="K7" i="27"/>
  <c r="K36" i="13" l="1"/>
  <c r="L92" i="25"/>
  <c r="L94" i="25" s="1"/>
  <c r="M59" i="31"/>
  <c r="M55" i="31"/>
  <c r="L64" i="31"/>
  <c r="L70" i="31" s="1"/>
  <c r="L35" i="31"/>
  <c r="L39" i="31" s="1"/>
  <c r="L48" i="31" s="1"/>
  <c r="K51" i="31"/>
  <c r="H65" i="29"/>
  <c r="H57" i="29"/>
  <c r="I78" i="29"/>
  <c r="I84" i="29" s="1"/>
  <c r="J69" i="29"/>
  <c r="I41" i="29"/>
  <c r="U73" i="27"/>
  <c r="L7" i="27"/>
  <c r="L36" i="13" l="1"/>
  <c r="M92" i="25"/>
  <c r="M94" i="25" s="1"/>
  <c r="N59" i="31"/>
  <c r="O59" i="31" s="1"/>
  <c r="P59" i="31" s="1"/>
  <c r="Q59" i="31" s="1"/>
  <c r="R59" i="31" s="1"/>
  <c r="S59" i="31" s="1"/>
  <c r="T59" i="31" s="1"/>
  <c r="U59" i="31" s="1"/>
  <c r="V59" i="31" s="1"/>
  <c r="W59" i="31" s="1"/>
  <c r="X59" i="31" s="1"/>
  <c r="Y59" i="31" s="1"/>
  <c r="Z59" i="31" s="1"/>
  <c r="AA59" i="31" s="1"/>
  <c r="AB59" i="31" s="1"/>
  <c r="AC59" i="31" s="1"/>
  <c r="AD59" i="31" s="1"/>
  <c r="AE59" i="31" s="1"/>
  <c r="AF59" i="31" s="1"/>
  <c r="AG59" i="31" s="1"/>
  <c r="AH59" i="31" s="1"/>
  <c r="AI59" i="31" s="1"/>
  <c r="AJ59" i="31" s="1"/>
  <c r="AK59" i="31" s="1"/>
  <c r="AL59" i="31" s="1"/>
  <c r="AM59" i="31" s="1"/>
  <c r="AN59" i="31" s="1"/>
  <c r="AO59" i="31" s="1"/>
  <c r="AP59" i="31" s="1"/>
  <c r="AQ59" i="31" s="1"/>
  <c r="AR59" i="31" s="1"/>
  <c r="AS59" i="31" s="1"/>
  <c r="AT59" i="31" s="1"/>
  <c r="AU59" i="31" s="1"/>
  <c r="AV59" i="31" s="1"/>
  <c r="AW59" i="31" s="1"/>
  <c r="AX59" i="31" s="1"/>
  <c r="AY59" i="31" s="1"/>
  <c r="AZ59" i="31" s="1"/>
  <c r="BA59" i="31" s="1"/>
  <c r="BB59" i="31" s="1"/>
  <c r="BC59" i="31" s="1"/>
  <c r="BD59" i="31" s="1"/>
  <c r="M64" i="31"/>
  <c r="M70" i="31" s="1"/>
  <c r="N70" i="31" s="1"/>
  <c r="O70" i="31" s="1"/>
  <c r="P70" i="31" s="1"/>
  <c r="Q70" i="31" s="1"/>
  <c r="R70" i="31" s="1"/>
  <c r="S70" i="31" s="1"/>
  <c r="T70" i="31" s="1"/>
  <c r="U70" i="31" s="1"/>
  <c r="V70" i="31" s="1"/>
  <c r="W70" i="31" s="1"/>
  <c r="X70" i="31" s="1"/>
  <c r="Y70" i="31" s="1"/>
  <c r="Z70" i="31" s="1"/>
  <c r="AA70" i="31" s="1"/>
  <c r="AB70" i="31" s="1"/>
  <c r="AC70" i="31" s="1"/>
  <c r="AD70" i="31" s="1"/>
  <c r="AE70" i="31" s="1"/>
  <c r="AF70" i="31" s="1"/>
  <c r="AG70" i="31" s="1"/>
  <c r="AH70" i="31" s="1"/>
  <c r="AI70" i="31" s="1"/>
  <c r="AJ70" i="31" s="1"/>
  <c r="AK70" i="31" s="1"/>
  <c r="AL70" i="31" s="1"/>
  <c r="AM70" i="31" s="1"/>
  <c r="AN70" i="31" s="1"/>
  <c r="AO70" i="31" s="1"/>
  <c r="AP70" i="31" s="1"/>
  <c r="AQ70" i="31" s="1"/>
  <c r="AR70" i="31" s="1"/>
  <c r="AS70" i="31" s="1"/>
  <c r="AT70" i="31" s="1"/>
  <c r="AU70" i="31" s="1"/>
  <c r="AV70" i="31" s="1"/>
  <c r="AW70" i="31" s="1"/>
  <c r="AX70" i="31" s="1"/>
  <c r="AY70" i="31" s="1"/>
  <c r="AZ70" i="31" s="1"/>
  <c r="BA70" i="31" s="1"/>
  <c r="BB70" i="31" s="1"/>
  <c r="BC70" i="31" s="1"/>
  <c r="BD70" i="31" s="1"/>
  <c r="M35" i="31"/>
  <c r="M39" i="31" s="1"/>
  <c r="M48" i="31" s="1"/>
  <c r="N55" i="31"/>
  <c r="L51" i="31"/>
  <c r="I57" i="29"/>
  <c r="I65" i="29"/>
  <c r="J78" i="29"/>
  <c r="J84" i="29" s="1"/>
  <c r="K69" i="29"/>
  <c r="J41" i="29"/>
  <c r="V73" i="27"/>
  <c r="M7" i="27"/>
  <c r="M36" i="13" l="1"/>
  <c r="N92" i="25"/>
  <c r="N94" i="25" s="1"/>
  <c r="N64" i="31"/>
  <c r="O55" i="31"/>
  <c r="M51" i="31"/>
  <c r="N35" i="31"/>
  <c r="N39" i="31" s="1"/>
  <c r="N48" i="31" s="1"/>
  <c r="J57" i="29"/>
  <c r="J65" i="29"/>
  <c r="L69" i="29"/>
  <c r="K78" i="29"/>
  <c r="K84" i="29" s="1"/>
  <c r="K41" i="29"/>
  <c r="W73" i="27"/>
  <c r="N7" i="27"/>
  <c r="N36" i="13" l="1"/>
  <c r="P92" i="25" s="1"/>
  <c r="P94" i="25" s="1"/>
  <c r="O92" i="25"/>
  <c r="O94" i="25" s="1"/>
  <c r="P55" i="31"/>
  <c r="O64" i="31"/>
  <c r="N51" i="31"/>
  <c r="O35" i="31"/>
  <c r="O39" i="31" s="1"/>
  <c r="O48" i="31" s="1"/>
  <c r="K65" i="29"/>
  <c r="K57" i="29"/>
  <c r="L78" i="29"/>
  <c r="L84" i="29" s="1"/>
  <c r="M69" i="29"/>
  <c r="L41" i="29"/>
  <c r="X73" i="27"/>
  <c r="O7" i="27"/>
  <c r="Q55" i="31" l="1"/>
  <c r="P64" i="31"/>
  <c r="O51" i="31"/>
  <c r="P35" i="31"/>
  <c r="P39" i="31" s="1"/>
  <c r="P48" i="31" s="1"/>
  <c r="L65" i="29"/>
  <c r="L57" i="29"/>
  <c r="M78" i="29"/>
  <c r="M84" i="29" s="1"/>
  <c r="N84" i="29" s="1"/>
  <c r="O84" i="29" s="1"/>
  <c r="P84" i="29" s="1"/>
  <c r="Q84" i="29" s="1"/>
  <c r="R84" i="29" s="1"/>
  <c r="S84" i="29" s="1"/>
  <c r="T84" i="29" s="1"/>
  <c r="U84" i="29" s="1"/>
  <c r="V84" i="29" s="1"/>
  <c r="W84" i="29" s="1"/>
  <c r="X84" i="29" s="1"/>
  <c r="Y84" i="29" s="1"/>
  <c r="Z84" i="29" s="1"/>
  <c r="AA84" i="29" s="1"/>
  <c r="AB84" i="29" s="1"/>
  <c r="AC84" i="29" s="1"/>
  <c r="AD84" i="29" s="1"/>
  <c r="AE84" i="29" s="1"/>
  <c r="AF84" i="29" s="1"/>
  <c r="AG84" i="29" s="1"/>
  <c r="AH84" i="29" s="1"/>
  <c r="AI84" i="29" s="1"/>
  <c r="AJ84" i="29" s="1"/>
  <c r="AK84" i="29" s="1"/>
  <c r="AL84" i="29" s="1"/>
  <c r="AM84" i="29" s="1"/>
  <c r="AN84" i="29" s="1"/>
  <c r="AO84" i="29" s="1"/>
  <c r="AP84" i="29" s="1"/>
  <c r="AQ84" i="29" s="1"/>
  <c r="AR84" i="29" s="1"/>
  <c r="AS84" i="29" s="1"/>
  <c r="AT84" i="29" s="1"/>
  <c r="AU84" i="29" s="1"/>
  <c r="AV84" i="29" s="1"/>
  <c r="AW84" i="29" s="1"/>
  <c r="AX84" i="29" s="1"/>
  <c r="AY84" i="29" s="1"/>
  <c r="AZ84" i="29" s="1"/>
  <c r="BA84" i="29" s="1"/>
  <c r="BB84" i="29" s="1"/>
  <c r="BC84" i="29" s="1"/>
  <c r="BD84" i="29" s="1"/>
  <c r="N69" i="29"/>
  <c r="M41" i="29"/>
  <c r="Y73" i="27"/>
  <c r="P7" i="27"/>
  <c r="Q64" i="31" l="1"/>
  <c r="R55" i="31"/>
  <c r="P51" i="31"/>
  <c r="Q35" i="31"/>
  <c r="Q39" i="31" s="1"/>
  <c r="Q48" i="31" s="1"/>
  <c r="M65" i="29"/>
  <c r="M57" i="29"/>
  <c r="N78" i="29"/>
  <c r="O69" i="29"/>
  <c r="N41" i="29"/>
  <c r="Z73" i="27"/>
  <c r="Q7" i="27"/>
  <c r="S55" i="31" l="1"/>
  <c r="R64" i="31"/>
  <c r="Q51" i="31"/>
  <c r="R35" i="31"/>
  <c r="R39" i="31" s="1"/>
  <c r="R48" i="31" s="1"/>
  <c r="N57" i="29"/>
  <c r="N65" i="29"/>
  <c r="O78" i="29"/>
  <c r="P69" i="29"/>
  <c r="O41" i="29"/>
  <c r="AA73" i="27"/>
  <c r="R7" i="27"/>
  <c r="R51" i="31" l="1"/>
  <c r="S35" i="31"/>
  <c r="S39" i="31" s="1"/>
  <c r="S48" i="31" s="1"/>
  <c r="T55" i="31"/>
  <c r="S64" i="31"/>
  <c r="O65" i="29"/>
  <c r="O57" i="29"/>
  <c r="P41" i="29"/>
  <c r="P78" i="29"/>
  <c r="Q69" i="29"/>
  <c r="AB73" i="27"/>
  <c r="S7" i="27"/>
  <c r="S51" i="31" l="1"/>
  <c r="T35" i="31"/>
  <c r="T39" i="31" s="1"/>
  <c r="T48" i="31" s="1"/>
  <c r="U55" i="31"/>
  <c r="T64" i="31"/>
  <c r="P65" i="29"/>
  <c r="P57" i="29"/>
  <c r="Q78" i="29"/>
  <c r="R69" i="29"/>
  <c r="Q41" i="29"/>
  <c r="AC73" i="27"/>
  <c r="T7" i="27"/>
  <c r="U64" i="31" l="1"/>
  <c r="V55" i="31"/>
  <c r="U35" i="31"/>
  <c r="U39" i="31" s="1"/>
  <c r="U48" i="31" s="1"/>
  <c r="T51" i="31"/>
  <c r="Q57" i="29"/>
  <c r="Q65" i="29"/>
  <c r="R41" i="29"/>
  <c r="R78" i="29"/>
  <c r="S69" i="29"/>
  <c r="AD73" i="27"/>
  <c r="U7" i="27"/>
  <c r="V64" i="31" l="1"/>
  <c r="W55" i="31"/>
  <c r="U51" i="31"/>
  <c r="V35" i="31"/>
  <c r="V39" i="31" s="1"/>
  <c r="V48" i="31" s="1"/>
  <c r="R57" i="29"/>
  <c r="R65" i="29"/>
  <c r="S41" i="29"/>
  <c r="S78" i="29"/>
  <c r="T69" i="29"/>
  <c r="AE73" i="27"/>
  <c r="V7" i="27"/>
  <c r="X55" i="31" l="1"/>
  <c r="W64" i="31"/>
  <c r="V51" i="31"/>
  <c r="W35" i="31"/>
  <c r="W39" i="31" s="1"/>
  <c r="W48" i="31" s="1"/>
  <c r="S65" i="29"/>
  <c r="S57" i="29"/>
  <c r="T78" i="29"/>
  <c r="U69" i="29"/>
  <c r="T41" i="29"/>
  <c r="AF73" i="27"/>
  <c r="W7" i="27"/>
  <c r="Y55" i="31" l="1"/>
  <c r="X64" i="31"/>
  <c r="W51" i="31"/>
  <c r="X35" i="31"/>
  <c r="X39" i="31" s="1"/>
  <c r="X48" i="31" s="1"/>
  <c r="T65" i="29"/>
  <c r="T57" i="29"/>
  <c r="U78" i="29"/>
  <c r="V69" i="29"/>
  <c r="U41" i="29"/>
  <c r="AG73" i="27"/>
  <c r="X7" i="27"/>
  <c r="X51" i="31" l="1"/>
  <c r="Y35" i="31"/>
  <c r="Y39" i="31" s="1"/>
  <c r="Y48" i="31" s="1"/>
  <c r="Y64" i="31"/>
  <c r="Z55" i="31"/>
  <c r="U65" i="29"/>
  <c r="U57" i="29"/>
  <c r="V41" i="29"/>
  <c r="V78" i="29"/>
  <c r="W69" i="29"/>
  <c r="AH73" i="27"/>
  <c r="Y7" i="27"/>
  <c r="Y51" i="31" l="1"/>
  <c r="Z35" i="31"/>
  <c r="Z39" i="31" s="1"/>
  <c r="Z48" i="31" s="1"/>
  <c r="AA55" i="31"/>
  <c r="Z64" i="31"/>
  <c r="V57" i="29"/>
  <c r="V65" i="29"/>
  <c r="W78" i="29"/>
  <c r="X69" i="29"/>
  <c r="W41" i="29"/>
  <c r="AI73" i="27"/>
  <c r="Z7" i="27"/>
  <c r="AB55" i="31" l="1"/>
  <c r="AA64" i="31"/>
  <c r="Z51" i="31"/>
  <c r="AA35" i="31"/>
  <c r="AA39" i="31" s="1"/>
  <c r="AA48" i="31" s="1"/>
  <c r="W65" i="29"/>
  <c r="W57" i="29"/>
  <c r="X41" i="29"/>
  <c r="X78" i="29"/>
  <c r="Y69" i="29"/>
  <c r="AJ73" i="27"/>
  <c r="AA7" i="27"/>
  <c r="AA51" i="31" l="1"/>
  <c r="AB35" i="31"/>
  <c r="AB39" i="31" s="1"/>
  <c r="AB48" i="31" s="1"/>
  <c r="AC55" i="31"/>
  <c r="AB64" i="31"/>
  <c r="X65" i="29"/>
  <c r="X57" i="29"/>
  <c r="Y78" i="29"/>
  <c r="Z69" i="29"/>
  <c r="Y41" i="29"/>
  <c r="AK73" i="27"/>
  <c r="AB7" i="27"/>
  <c r="AB51" i="31" l="1"/>
  <c r="AC35" i="31"/>
  <c r="AC39" i="31" s="1"/>
  <c r="AC48" i="31" s="1"/>
  <c r="AC64" i="31"/>
  <c r="AD55" i="31"/>
  <c r="Y57" i="29"/>
  <c r="Y65" i="29"/>
  <c r="Z41" i="29"/>
  <c r="Z78" i="29"/>
  <c r="AA69" i="29"/>
  <c r="AL73" i="27"/>
  <c r="AC7" i="27"/>
  <c r="AD64" i="31" l="1"/>
  <c r="AE55" i="31"/>
  <c r="AC51" i="31"/>
  <c r="AD35" i="31"/>
  <c r="AD39" i="31" s="1"/>
  <c r="AD48" i="31" s="1"/>
  <c r="Z57" i="29"/>
  <c r="Z65" i="29"/>
  <c r="AA78" i="29"/>
  <c r="AB69" i="29"/>
  <c r="AA41" i="29"/>
  <c r="AM73" i="27"/>
  <c r="AD7" i="27"/>
  <c r="AF55" i="31" l="1"/>
  <c r="AE64" i="31"/>
  <c r="AD51" i="31"/>
  <c r="AE35" i="31"/>
  <c r="AE39" i="31" s="1"/>
  <c r="AE48" i="31" s="1"/>
  <c r="AA65" i="29"/>
  <c r="AA57" i="29"/>
  <c r="AB78" i="29"/>
  <c r="AC69" i="29"/>
  <c r="AB41" i="29"/>
  <c r="AN73" i="27"/>
  <c r="AE7" i="27"/>
  <c r="AE51" i="31" l="1"/>
  <c r="AF35" i="31"/>
  <c r="AF39" i="31" s="1"/>
  <c r="AF48" i="31" s="1"/>
  <c r="AG55" i="31"/>
  <c r="AF64" i="31"/>
  <c r="AB65" i="29"/>
  <c r="AB57" i="29"/>
  <c r="AC41" i="29"/>
  <c r="AC78" i="29"/>
  <c r="AD69" i="29"/>
  <c r="AO73" i="27"/>
  <c r="AF7" i="27"/>
  <c r="AF51" i="31" l="1"/>
  <c r="AG35" i="31"/>
  <c r="AG39" i="31" s="1"/>
  <c r="AG48" i="31" s="1"/>
  <c r="AG64" i="31"/>
  <c r="AH55" i="31"/>
  <c r="AC65" i="29"/>
  <c r="AC57" i="29"/>
  <c r="AD78" i="29"/>
  <c r="AE69" i="29"/>
  <c r="AD41" i="29"/>
  <c r="AP73" i="27"/>
  <c r="AG7" i="27"/>
  <c r="AH64" i="31" l="1"/>
  <c r="AI55" i="31"/>
  <c r="AG51" i="31"/>
  <c r="AH35" i="31"/>
  <c r="AH39" i="31" s="1"/>
  <c r="AH48" i="31" s="1"/>
  <c r="AD57" i="29"/>
  <c r="AD65" i="29"/>
  <c r="AE78" i="29"/>
  <c r="AF69" i="29"/>
  <c r="AE41" i="29"/>
  <c r="AQ73" i="27"/>
  <c r="AH7" i="27"/>
  <c r="AH51" i="31" l="1"/>
  <c r="AI35" i="31"/>
  <c r="AI39" i="31" s="1"/>
  <c r="AI48" i="31" s="1"/>
  <c r="AJ55" i="31"/>
  <c r="AI64" i="31"/>
  <c r="AE65" i="29"/>
  <c r="AE57" i="29"/>
  <c r="AF41" i="29"/>
  <c r="AF78" i="29"/>
  <c r="AG69" i="29"/>
  <c r="AR73" i="27"/>
  <c r="AI7" i="27"/>
  <c r="AI51" i="31" l="1"/>
  <c r="AJ35" i="31"/>
  <c r="AJ39" i="31" s="1"/>
  <c r="AJ48" i="31" s="1"/>
  <c r="AK55" i="31"/>
  <c r="AJ64" i="31"/>
  <c r="AF65" i="29"/>
  <c r="AF57" i="29"/>
  <c r="AG41" i="29"/>
  <c r="AG78" i="29"/>
  <c r="AH69" i="29"/>
  <c r="AS73" i="27"/>
  <c r="AJ7" i="27"/>
  <c r="AK64" i="31" l="1"/>
  <c r="AL55" i="31"/>
  <c r="AK35" i="31"/>
  <c r="AK39" i="31" s="1"/>
  <c r="AK48" i="31" s="1"/>
  <c r="AJ51" i="31"/>
  <c r="AG57" i="29"/>
  <c r="AG65" i="29"/>
  <c r="AH41" i="29"/>
  <c r="AH78" i="29"/>
  <c r="AI69" i="29"/>
  <c r="AT73" i="27"/>
  <c r="AK7" i="27"/>
  <c r="AK51" i="31" l="1"/>
  <c r="AL35" i="31"/>
  <c r="AL39" i="31" s="1"/>
  <c r="AL48" i="31" s="1"/>
  <c r="AL64" i="31"/>
  <c r="AM55" i="31"/>
  <c r="AH57" i="29"/>
  <c r="AH65" i="29"/>
  <c r="AI78" i="29"/>
  <c r="AJ69" i="29"/>
  <c r="AI41" i="29"/>
  <c r="AU73" i="27"/>
  <c r="AL7" i="27"/>
  <c r="AL51" i="31" l="1"/>
  <c r="AM35" i="31"/>
  <c r="AM39" i="31" s="1"/>
  <c r="AM48" i="31" s="1"/>
  <c r="AN55" i="31"/>
  <c r="AM64" i="31"/>
  <c r="AI65" i="29"/>
  <c r="AI57" i="29"/>
  <c r="AJ78" i="29"/>
  <c r="AK69" i="29"/>
  <c r="AJ41" i="29"/>
  <c r="AV73" i="27"/>
  <c r="AM7" i="27"/>
  <c r="AO55" i="31" l="1"/>
  <c r="AN64" i="31"/>
  <c r="AM51" i="31"/>
  <c r="AN35" i="31"/>
  <c r="AN39" i="31" s="1"/>
  <c r="AN48" i="31" s="1"/>
  <c r="AJ65" i="29"/>
  <c r="AJ57" i="29"/>
  <c r="AK41" i="29"/>
  <c r="AK78" i="29"/>
  <c r="AL69" i="29"/>
  <c r="AW73" i="27"/>
  <c r="AN7" i="27"/>
  <c r="AN51" i="31" l="1"/>
  <c r="AO35" i="31"/>
  <c r="AO39" i="31" s="1"/>
  <c r="AO48" i="31" s="1"/>
  <c r="AO64" i="31"/>
  <c r="AP55" i="31"/>
  <c r="AK57" i="29"/>
  <c r="AK65" i="29"/>
  <c r="AL78" i="29"/>
  <c r="AM69" i="29"/>
  <c r="AL41" i="29"/>
  <c r="AX73" i="27"/>
  <c r="AO7" i="27"/>
  <c r="AO51" i="31" l="1"/>
  <c r="AP35" i="31"/>
  <c r="AP39" i="31" s="1"/>
  <c r="AP48" i="31" s="1"/>
  <c r="AP64" i="31"/>
  <c r="AQ55" i="31"/>
  <c r="AL57" i="29"/>
  <c r="AL65" i="29"/>
  <c r="AM78" i="29"/>
  <c r="AN69" i="29"/>
  <c r="AM41" i="29"/>
  <c r="AY73" i="27"/>
  <c r="AP7" i="27"/>
  <c r="AR55" i="31" l="1"/>
  <c r="AQ64" i="31"/>
  <c r="AP51" i="31"/>
  <c r="AQ35" i="31"/>
  <c r="AQ39" i="31" s="1"/>
  <c r="AQ48" i="31" s="1"/>
  <c r="AM65" i="29"/>
  <c r="AM57" i="29"/>
  <c r="AN41" i="29"/>
  <c r="AN78" i="29"/>
  <c r="AO69" i="29"/>
  <c r="AZ73" i="27"/>
  <c r="AQ7" i="27"/>
  <c r="AQ51" i="31" l="1"/>
  <c r="AR35" i="31"/>
  <c r="AR39" i="31" s="1"/>
  <c r="AR48" i="31" s="1"/>
  <c r="AS55" i="31"/>
  <c r="AR64" i="31"/>
  <c r="AN65" i="29"/>
  <c r="AN57" i="29"/>
  <c r="AO78" i="29"/>
  <c r="AP69" i="29"/>
  <c r="AO41" i="29"/>
  <c r="BA73" i="27"/>
  <c r="AR7" i="27"/>
  <c r="AR51" i="31" l="1"/>
  <c r="AS35" i="31"/>
  <c r="AS39" i="31" s="1"/>
  <c r="AS48" i="31" s="1"/>
  <c r="AS64" i="31"/>
  <c r="AT55" i="31"/>
  <c r="AO65" i="29"/>
  <c r="AO57" i="29"/>
  <c r="AP78" i="29"/>
  <c r="AQ69" i="29"/>
  <c r="AP41" i="29"/>
  <c r="BB73" i="27"/>
  <c r="AS7" i="27"/>
  <c r="AT64" i="31" l="1"/>
  <c r="AU55" i="31"/>
  <c r="AS51" i="31"/>
  <c r="AT35" i="31"/>
  <c r="AT39" i="31" s="1"/>
  <c r="AT48" i="31" s="1"/>
  <c r="AP57" i="29"/>
  <c r="AP65" i="29"/>
  <c r="AQ78" i="29"/>
  <c r="AR69" i="29"/>
  <c r="AQ41" i="29"/>
  <c r="BC73" i="27"/>
  <c r="AT7" i="27"/>
  <c r="AT51" i="31" l="1"/>
  <c r="AU35" i="31"/>
  <c r="AU39" i="31" s="1"/>
  <c r="AU48" i="31" s="1"/>
  <c r="AV55" i="31"/>
  <c r="AU64" i="31"/>
  <c r="AQ65" i="29"/>
  <c r="AQ57" i="29"/>
  <c r="AR41" i="29"/>
  <c r="AR78" i="29"/>
  <c r="AS69" i="29"/>
  <c r="BD73" i="27"/>
  <c r="AU7" i="27"/>
  <c r="AW55" i="31" l="1"/>
  <c r="AV64" i="31"/>
  <c r="AU51" i="31"/>
  <c r="AV35" i="31"/>
  <c r="AV39" i="31" s="1"/>
  <c r="AV48" i="31" s="1"/>
  <c r="AR65" i="29"/>
  <c r="AR57" i="29"/>
  <c r="AS41" i="29"/>
  <c r="AS78" i="29"/>
  <c r="AT69" i="29"/>
  <c r="BE73" i="27"/>
  <c r="AV7" i="27"/>
  <c r="AW64" i="31" l="1"/>
  <c r="AX55" i="31"/>
  <c r="AV51" i="31"/>
  <c r="AW35" i="31"/>
  <c r="AW39" i="31" s="1"/>
  <c r="AW48" i="31" s="1"/>
  <c r="AS57" i="29"/>
  <c r="AS65" i="29"/>
  <c r="AT41" i="29"/>
  <c r="AT78" i="29"/>
  <c r="AU69" i="29"/>
  <c r="BF73" i="27"/>
  <c r="AW7" i="27"/>
  <c r="AX64" i="31" l="1"/>
  <c r="AY55" i="31"/>
  <c r="AW51" i="31"/>
  <c r="AX35" i="31"/>
  <c r="AX39" i="31" s="1"/>
  <c r="AX48" i="31" s="1"/>
  <c r="AT57" i="29"/>
  <c r="AT65" i="29"/>
  <c r="AU41" i="29"/>
  <c r="AU78" i="29"/>
  <c r="AV69" i="29"/>
  <c r="BG73" i="27"/>
  <c r="AX7" i="27"/>
  <c r="AX51" i="31" l="1"/>
  <c r="AY35" i="31"/>
  <c r="AY39" i="31" s="1"/>
  <c r="AY48" i="31" s="1"/>
  <c r="AZ55" i="31"/>
  <c r="AY64" i="31"/>
  <c r="AU65" i="29"/>
  <c r="AU57" i="29"/>
  <c r="AV78" i="29"/>
  <c r="AW69" i="29"/>
  <c r="AV41" i="29"/>
  <c r="BH73" i="27"/>
  <c r="AY7" i="27"/>
  <c r="AY51" i="31" l="1"/>
  <c r="AZ35" i="31"/>
  <c r="AZ39" i="31" s="1"/>
  <c r="AZ48" i="31" s="1"/>
  <c r="BA55" i="31"/>
  <c r="AZ64" i="31"/>
  <c r="AV65" i="29"/>
  <c r="AV57" i="29"/>
  <c r="AW78" i="29"/>
  <c r="AX69" i="29"/>
  <c r="AW41" i="29"/>
  <c r="BI73" i="27"/>
  <c r="AZ7" i="27"/>
  <c r="BA35" i="31" l="1"/>
  <c r="BA39" i="31" s="1"/>
  <c r="BA48" i="31" s="1"/>
  <c r="AZ51" i="31"/>
  <c r="BA64" i="31"/>
  <c r="BB55" i="31"/>
  <c r="AW57" i="29"/>
  <c r="AW65" i="29"/>
  <c r="AX41" i="29"/>
  <c r="AX78" i="29"/>
  <c r="AY69" i="29"/>
  <c r="BJ73" i="27"/>
  <c r="BA7" i="27"/>
  <c r="BA51" i="31" l="1"/>
  <c r="BB35" i="31"/>
  <c r="BB39" i="31" s="1"/>
  <c r="BB48" i="31" s="1"/>
  <c r="BB64" i="31"/>
  <c r="BC55" i="31"/>
  <c r="AX57" i="29"/>
  <c r="AX65" i="29"/>
  <c r="AY41" i="29"/>
  <c r="AY78" i="29"/>
  <c r="AZ69" i="29"/>
  <c r="BL73" i="27"/>
  <c r="BK73" i="27"/>
  <c r="BB7" i="27"/>
  <c r="BD55" i="31" l="1"/>
  <c r="BD64" i="31" s="1"/>
  <c r="BC64" i="31"/>
  <c r="BB51" i="31"/>
  <c r="BC35" i="31"/>
  <c r="BC39" i="31" s="1"/>
  <c r="BC48" i="31" s="1"/>
  <c r="AY65" i="29"/>
  <c r="AY57" i="29"/>
  <c r="AZ78" i="29"/>
  <c r="BA69" i="29"/>
  <c r="AZ41" i="29"/>
  <c r="BC7" i="27"/>
  <c r="BC51" i="31" l="1"/>
  <c r="BD35" i="31"/>
  <c r="BD39" i="31" s="1"/>
  <c r="BD48" i="31" s="1"/>
  <c r="AZ65" i="29"/>
  <c r="AZ57" i="29"/>
  <c r="BA78" i="29"/>
  <c r="BB69" i="29"/>
  <c r="BA41" i="29"/>
  <c r="BD7" i="27"/>
  <c r="BD51" i="31" l="1"/>
  <c r="BA65" i="29"/>
  <c r="BA57" i="29"/>
  <c r="BB41" i="29"/>
  <c r="BB78" i="29"/>
  <c r="BC69" i="29"/>
  <c r="BE7" i="27"/>
  <c r="BB57" i="29" l="1"/>
  <c r="BB65" i="29"/>
  <c r="BC78" i="29"/>
  <c r="BD69" i="29"/>
  <c r="BD78" i="29" s="1"/>
  <c r="BC41" i="29"/>
  <c r="BF7" i="27"/>
  <c r="BC65" i="29" l="1"/>
  <c r="BC57" i="29"/>
  <c r="BD41" i="29"/>
  <c r="BG7" i="27"/>
  <c r="BD65" i="29" l="1"/>
  <c r="BD57" i="29"/>
  <c r="BH7" i="27"/>
  <c r="BI7" i="27" l="1"/>
  <c r="BJ7" i="27" l="1"/>
  <c r="BK7" i="27" l="1"/>
  <c r="BL7" i="27" l="1"/>
  <c r="I17" i="2" l="1"/>
  <c r="J17" i="2" s="1"/>
  <c r="K17" i="2" s="1"/>
  <c r="L17" i="2" s="1"/>
  <c r="M17" i="2" s="1"/>
  <c r="H18" i="2"/>
  <c r="F6" i="2"/>
  <c r="I14" i="2"/>
  <c r="I3" i="2"/>
  <c r="H19" i="2"/>
  <c r="H20" i="2"/>
  <c r="H21" i="2"/>
  <c r="H22" i="2"/>
  <c r="J14" i="2"/>
  <c r="K14" i="2" s="1"/>
  <c r="L14" i="2" s="1"/>
  <c r="M14" i="2" s="1"/>
  <c r="B8" i="1"/>
  <c r="C9" i="1"/>
  <c r="C12" i="1"/>
  <c r="B9" i="1"/>
  <c r="B10" i="1"/>
  <c r="B11" i="1"/>
  <c r="B12" i="1"/>
  <c r="B16" i="1"/>
  <c r="E4" i="25" s="1"/>
  <c r="E12" i="25" s="1"/>
  <c r="E77" i="1"/>
  <c r="B60" i="11"/>
  <c r="H28" i="11"/>
  <c r="A9" i="11" s="1"/>
  <c r="A44" i="22"/>
  <c r="A59" i="22" s="1"/>
  <c r="A42" i="22"/>
  <c r="A41" i="22"/>
  <c r="A47" i="22" s="1"/>
  <c r="F30" i="22"/>
  <c r="A30" i="22"/>
  <c r="A53" i="22" s="1"/>
  <c r="A54" i="22" s="1"/>
  <c r="F25" i="22"/>
  <c r="D12" i="22"/>
  <c r="B75" i="22"/>
  <c r="C75" i="22" s="1"/>
  <c r="D75" i="22" s="1"/>
  <c r="E75" i="22" s="1"/>
  <c r="F75" i="22" s="1"/>
  <c r="G75" i="22" s="1"/>
  <c r="H75" i="22" s="1"/>
  <c r="I75" i="22" s="1"/>
  <c r="J75" i="22" s="1"/>
  <c r="K75" i="22" s="1"/>
  <c r="L75" i="22" s="1"/>
  <c r="M75" i="22" s="1"/>
  <c r="N75" i="22" s="1"/>
  <c r="O75" i="22" s="1"/>
  <c r="P75" i="22" s="1"/>
  <c r="Q75" i="22" s="1"/>
  <c r="R75" i="22" s="1"/>
  <c r="S75" i="22" s="1"/>
  <c r="T75" i="22" s="1"/>
  <c r="U75" i="22" s="1"/>
  <c r="V75" i="22" s="1"/>
  <c r="W75" i="22" s="1"/>
  <c r="X75" i="22" s="1"/>
  <c r="Y75" i="22" s="1"/>
  <c r="Z75" i="22" s="1"/>
  <c r="AA75" i="22" s="1"/>
  <c r="AB75" i="22" s="1"/>
  <c r="AC75" i="22" s="1"/>
  <c r="AD75" i="22" s="1"/>
  <c r="AE75" i="22" s="1"/>
  <c r="AF75" i="22" s="1"/>
  <c r="AG75" i="22" s="1"/>
  <c r="AH75" i="22" s="1"/>
  <c r="AI75" i="22" s="1"/>
  <c r="AJ75" i="22" s="1"/>
  <c r="AK75" i="22" s="1"/>
  <c r="AL75" i="22" s="1"/>
  <c r="AM75" i="22" s="1"/>
  <c r="AN75" i="22" s="1"/>
  <c r="AO75" i="22" s="1"/>
  <c r="AP75" i="22" s="1"/>
  <c r="AQ75" i="22" s="1"/>
  <c r="AR75" i="22" s="1"/>
  <c r="AS75" i="22" s="1"/>
  <c r="AT75" i="22" s="1"/>
  <c r="AU75" i="22" s="1"/>
  <c r="AV75" i="22" s="1"/>
  <c r="AW75" i="22" s="1"/>
  <c r="AX75" i="22" s="1"/>
  <c r="AY75" i="22" s="1"/>
  <c r="AZ75" i="22" s="1"/>
  <c r="BA75" i="22" s="1"/>
  <c r="BB75" i="22" s="1"/>
  <c r="BC75" i="22" s="1"/>
  <c r="BD75" i="22" s="1"/>
  <c r="B71" i="22"/>
  <c r="B80" i="22" s="1"/>
  <c r="B86" i="22" s="1"/>
  <c r="C19" i="22"/>
  <c r="B17" i="22"/>
  <c r="B18" i="22" s="1"/>
  <c r="B20" i="22" s="1"/>
  <c r="I21" i="22" s="1"/>
  <c r="B49" i="11" s="1"/>
  <c r="C49" i="11" s="1"/>
  <c r="C16" i="22"/>
  <c r="I13" i="22"/>
  <c r="B13" i="22"/>
  <c r="D11" i="22"/>
  <c r="K10" i="22"/>
  <c r="D10" i="22"/>
  <c r="K9" i="22"/>
  <c r="D9" i="22"/>
  <c r="K7" i="22"/>
  <c r="D7" i="22"/>
  <c r="K6" i="22"/>
  <c r="K5" i="22"/>
  <c r="A8" i="11"/>
  <c r="A48" i="11" s="1"/>
  <c r="A59" i="11" s="1"/>
  <c r="A70" i="11" s="1"/>
  <c r="A82" i="11" s="1"/>
  <c r="A94" i="11" s="1"/>
  <c r="A47" i="18"/>
  <c r="A48" i="18"/>
  <c r="A46" i="18"/>
  <c r="F31" i="18"/>
  <c r="F30" i="18"/>
  <c r="F29" i="18"/>
  <c r="C19" i="18"/>
  <c r="B59" i="18"/>
  <c r="C59" i="18" s="1"/>
  <c r="D59" i="18" s="1"/>
  <c r="E59" i="18" s="1"/>
  <c r="F59" i="18" s="1"/>
  <c r="G59" i="18" s="1"/>
  <c r="H59" i="18" s="1"/>
  <c r="I59" i="18" s="1"/>
  <c r="J59" i="18" s="1"/>
  <c r="K59" i="18" s="1"/>
  <c r="L59" i="18" s="1"/>
  <c r="M59" i="18" s="1"/>
  <c r="N59" i="18" s="1"/>
  <c r="O59" i="18" s="1"/>
  <c r="P59" i="18" s="1"/>
  <c r="Q59" i="18" s="1"/>
  <c r="R59" i="18" s="1"/>
  <c r="S59" i="18" s="1"/>
  <c r="T59" i="18" s="1"/>
  <c r="U59" i="18" s="1"/>
  <c r="V59" i="18" s="1"/>
  <c r="W59" i="18" s="1"/>
  <c r="X59" i="18" s="1"/>
  <c r="Y59" i="18" s="1"/>
  <c r="Z59" i="18" s="1"/>
  <c r="AA59" i="18" s="1"/>
  <c r="AB59" i="18" s="1"/>
  <c r="AC59" i="18" s="1"/>
  <c r="AD59" i="18" s="1"/>
  <c r="AE59" i="18" s="1"/>
  <c r="AF59" i="18" s="1"/>
  <c r="AG59" i="18" s="1"/>
  <c r="AH59" i="18" s="1"/>
  <c r="AI59" i="18" s="1"/>
  <c r="AJ59" i="18" s="1"/>
  <c r="AK59" i="18" s="1"/>
  <c r="AL59" i="18" s="1"/>
  <c r="AM59" i="18" s="1"/>
  <c r="AN59" i="18" s="1"/>
  <c r="AO59" i="18" s="1"/>
  <c r="AP59" i="18" s="1"/>
  <c r="AQ59" i="18" s="1"/>
  <c r="AR59" i="18" s="1"/>
  <c r="AS59" i="18" s="1"/>
  <c r="AT59" i="18" s="1"/>
  <c r="AU59" i="18" s="1"/>
  <c r="AV59" i="18" s="1"/>
  <c r="AW59" i="18" s="1"/>
  <c r="AX59" i="18" s="1"/>
  <c r="AY59" i="18" s="1"/>
  <c r="AZ59" i="18" s="1"/>
  <c r="BA59" i="18" s="1"/>
  <c r="BB59" i="18" s="1"/>
  <c r="BC59" i="18" s="1"/>
  <c r="BD59" i="18" s="1"/>
  <c r="B55" i="18"/>
  <c r="B38" i="18" s="1"/>
  <c r="B33" i="18" s="1"/>
  <c r="B59" i="11" s="1"/>
  <c r="B17" i="18"/>
  <c r="B18" i="18" s="1"/>
  <c r="B20" i="18" s="1"/>
  <c r="C16" i="18"/>
  <c r="I13" i="18"/>
  <c r="B13" i="18"/>
  <c r="D11" i="18"/>
  <c r="K10" i="18"/>
  <c r="D10" i="18"/>
  <c r="K9" i="18"/>
  <c r="D9" i="18"/>
  <c r="K7" i="18"/>
  <c r="D7" i="18"/>
  <c r="K6" i="18"/>
  <c r="K5" i="18"/>
  <c r="D43" i="6"/>
  <c r="E43" i="6" s="1"/>
  <c r="D50" i="6"/>
  <c r="G17" i="6"/>
  <c r="H17" i="6" s="1"/>
  <c r="I17" i="6" s="1"/>
  <c r="J17" i="6" s="1"/>
  <c r="K17" i="6" s="1"/>
  <c r="L17" i="6" s="1"/>
  <c r="M17" i="6" s="1"/>
  <c r="N17" i="6" s="1"/>
  <c r="E17" i="6"/>
  <c r="D17" i="6"/>
  <c r="C17" i="6"/>
  <c r="E9" i="6"/>
  <c r="F9" i="6"/>
  <c r="G9" i="6" s="1"/>
  <c r="H9" i="6" s="1"/>
  <c r="I9" i="6" s="1"/>
  <c r="J9" i="6" s="1"/>
  <c r="K9" i="6" s="1"/>
  <c r="L9" i="6" s="1"/>
  <c r="M9" i="6" s="1"/>
  <c r="N9" i="6" s="1"/>
  <c r="D9" i="6"/>
  <c r="A7" i="11"/>
  <c r="A18" i="11" s="1"/>
  <c r="A29" i="11" s="1"/>
  <c r="A6" i="11"/>
  <c r="A17" i="11" s="1"/>
  <c r="A28" i="11" s="1"/>
  <c r="A4" i="11"/>
  <c r="A15" i="11" s="1"/>
  <c r="A26" i="11" s="1"/>
  <c r="B44" i="11"/>
  <c r="B45" i="11" s="1"/>
  <c r="B35" i="16"/>
  <c r="B60" i="16"/>
  <c r="C60" i="16" s="1"/>
  <c r="D60" i="16" s="1"/>
  <c r="E60" i="16" s="1"/>
  <c r="B56" i="16"/>
  <c r="B65" i="16" s="1"/>
  <c r="K7" i="16"/>
  <c r="K6" i="16"/>
  <c r="K5" i="16"/>
  <c r="D8" i="16"/>
  <c r="D6" i="16"/>
  <c r="D5" i="16"/>
  <c r="C19" i="16"/>
  <c r="B17" i="16"/>
  <c r="B18" i="16" s="1"/>
  <c r="B20" i="16" s="1"/>
  <c r="I19" i="16" s="1"/>
  <c r="C16" i="16"/>
  <c r="I13" i="16"/>
  <c r="B13" i="16"/>
  <c r="E53" i="27" s="1"/>
  <c r="E55" i="27" s="1"/>
  <c r="D11" i="16"/>
  <c r="K10" i="16"/>
  <c r="D10" i="16"/>
  <c r="K9" i="16"/>
  <c r="D9" i="16"/>
  <c r="D7" i="16"/>
  <c r="O54" i="11"/>
  <c r="O62" i="11" s="1"/>
  <c r="P54" i="11"/>
  <c r="P62" i="11" s="1"/>
  <c r="P73" i="11" s="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/>
  <c r="BD54" i="11"/>
  <c r="BE54" i="11"/>
  <c r="BF54" i="11"/>
  <c r="BG54" i="11"/>
  <c r="BH54" i="11"/>
  <c r="BI54" i="11"/>
  <c r="BJ54" i="11"/>
  <c r="B14" i="11"/>
  <c r="B25" i="11" s="1"/>
  <c r="I3" i="11" s="1"/>
  <c r="C3" i="11"/>
  <c r="C14" i="11" s="1"/>
  <c r="C25" i="11" s="1"/>
  <c r="J3" i="11" s="1"/>
  <c r="B55" i="17"/>
  <c r="B37" i="17" s="1"/>
  <c r="B34" i="17" s="1"/>
  <c r="B59" i="17"/>
  <c r="C59" i="17" s="1"/>
  <c r="D59" i="17" s="1"/>
  <c r="E59" i="17" s="1"/>
  <c r="I13" i="17"/>
  <c r="B13" i="17"/>
  <c r="E86" i="27" s="1" a="1"/>
  <c r="E86" i="27" s="1"/>
  <c r="E88" i="27" s="1"/>
  <c r="C19" i="17"/>
  <c r="C16" i="17"/>
  <c r="K10" i="17"/>
  <c r="K9" i="17"/>
  <c r="K7" i="17"/>
  <c r="K6" i="17"/>
  <c r="K5" i="17"/>
  <c r="D11" i="17"/>
  <c r="D9" i="17"/>
  <c r="D10" i="17"/>
  <c r="D7" i="17"/>
  <c r="B17" i="17"/>
  <c r="B18" i="17" s="1"/>
  <c r="B20" i="17" s="1"/>
  <c r="I19" i="17" s="1"/>
  <c r="C32" i="19"/>
  <c r="C35" i="19" s="1"/>
  <c r="C41" i="19" s="1"/>
  <c r="C48" i="19" s="1"/>
  <c r="D32" i="19"/>
  <c r="D36" i="19" s="1"/>
  <c r="D42" i="19" s="1"/>
  <c r="D49" i="19" s="1"/>
  <c r="E32" i="19"/>
  <c r="E34" i="19" s="1"/>
  <c r="E40" i="19" s="1"/>
  <c r="E47" i="19" s="1"/>
  <c r="B32" i="19"/>
  <c r="B34" i="19" s="1"/>
  <c r="B40" i="19" s="1"/>
  <c r="B47" i="19" s="1"/>
  <c r="D36" i="13"/>
  <c r="E36" i="13" s="1"/>
  <c r="L18" i="13"/>
  <c r="I33" i="13" s="1"/>
  <c r="F42" i="13"/>
  <c r="E42" i="13"/>
  <c r="D42" i="13"/>
  <c r="C42" i="13"/>
  <c r="F41" i="13"/>
  <c r="G41" i="13" s="1"/>
  <c r="H41" i="13" s="1"/>
  <c r="I41" i="13" s="1"/>
  <c r="J41" i="13" s="1"/>
  <c r="K41" i="13" s="1"/>
  <c r="L41" i="13" s="1"/>
  <c r="M41" i="13" s="1"/>
  <c r="N41" i="13" s="1"/>
  <c r="C41" i="13"/>
  <c r="D41" i="13" s="1"/>
  <c r="E41" i="13" s="1"/>
  <c r="D39" i="13"/>
  <c r="C40" i="13"/>
  <c r="D40" i="13" s="1"/>
  <c r="E40" i="13" s="1"/>
  <c r="F40" i="13" s="1"/>
  <c r="G40" i="13" s="1"/>
  <c r="H40" i="13" s="1"/>
  <c r="I40" i="13" s="1"/>
  <c r="J40" i="13" s="1"/>
  <c r="K40" i="13" s="1"/>
  <c r="L40" i="13" s="1"/>
  <c r="M40" i="13" s="1"/>
  <c r="N40" i="13" s="1"/>
  <c r="C38" i="13"/>
  <c r="D38" i="13" s="1"/>
  <c r="C37" i="13"/>
  <c r="D37" i="13" s="1"/>
  <c r="E37" i="13" s="1"/>
  <c r="F37" i="13" s="1"/>
  <c r="G37" i="13" s="1"/>
  <c r="H37" i="13" s="1"/>
  <c r="I37" i="13" s="1"/>
  <c r="J37" i="13" s="1"/>
  <c r="K37" i="13" s="1"/>
  <c r="L37" i="13" s="1"/>
  <c r="M37" i="13" s="1"/>
  <c r="N37" i="13" s="1"/>
  <c r="E35" i="13"/>
  <c r="D35" i="13"/>
  <c r="F89" i="25" s="1"/>
  <c r="F91" i="25" s="1"/>
  <c r="E34" i="13"/>
  <c r="D34" i="13"/>
  <c r="F86" i="25" s="1"/>
  <c r="F88" i="25" s="1"/>
  <c r="C34" i="13"/>
  <c r="E86" i="25" s="1"/>
  <c r="E88" i="25" s="1"/>
  <c r="B53" i="15"/>
  <c r="B52" i="15"/>
  <c r="B51" i="15"/>
  <c r="B50" i="15"/>
  <c r="B49" i="15"/>
  <c r="B48" i="15"/>
  <c r="B47" i="15"/>
  <c r="B46" i="15"/>
  <c r="B45" i="15"/>
  <c r="B44" i="15"/>
  <c r="B43" i="15"/>
  <c r="B42" i="15"/>
  <c r="F49" i="1"/>
  <c r="B110" i="15"/>
  <c r="B109" i="15"/>
  <c r="B107" i="15"/>
  <c r="B106" i="15"/>
  <c r="B104" i="15"/>
  <c r="B103" i="15"/>
  <c r="B101" i="15"/>
  <c r="B100" i="15"/>
  <c r="B98" i="15"/>
  <c r="B97" i="15"/>
  <c r="B95" i="15"/>
  <c r="B94" i="15"/>
  <c r="B92" i="15"/>
  <c r="B91" i="15"/>
  <c r="B89" i="15"/>
  <c r="B88" i="15"/>
  <c r="B86" i="15"/>
  <c r="B85" i="15"/>
  <c r="B83" i="15"/>
  <c r="B82" i="15"/>
  <c r="B80" i="15"/>
  <c r="B79" i="15"/>
  <c r="B77" i="15"/>
  <c r="B76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N53" i="15"/>
  <c r="N68" i="15" s="1"/>
  <c r="M53" i="15"/>
  <c r="M68" i="15" s="1"/>
  <c r="L53" i="15"/>
  <c r="L68" i="15" s="1"/>
  <c r="K53" i="15"/>
  <c r="K68" i="15" s="1"/>
  <c r="J53" i="15"/>
  <c r="J68" i="15" s="1"/>
  <c r="I53" i="15"/>
  <c r="I68" i="15" s="1"/>
  <c r="H53" i="15"/>
  <c r="H68" i="15" s="1"/>
  <c r="G53" i="15"/>
  <c r="G68" i="15" s="1"/>
  <c r="F53" i="15"/>
  <c r="F68" i="15" s="1"/>
  <c r="E53" i="15"/>
  <c r="E68" i="15" s="1"/>
  <c r="D53" i="15"/>
  <c r="D68" i="15" s="1"/>
  <c r="C53" i="15"/>
  <c r="C68" i="15" s="1"/>
  <c r="N52" i="15"/>
  <c r="N67" i="15" s="1"/>
  <c r="M52" i="15"/>
  <c r="M67" i="15" s="1"/>
  <c r="L52" i="15"/>
  <c r="L67" i="15" s="1"/>
  <c r="K52" i="15"/>
  <c r="K67" i="15" s="1"/>
  <c r="J52" i="15"/>
  <c r="J67" i="15" s="1"/>
  <c r="I52" i="15"/>
  <c r="I67" i="15" s="1"/>
  <c r="H52" i="15"/>
  <c r="H67" i="15" s="1"/>
  <c r="G52" i="15"/>
  <c r="G67" i="15" s="1"/>
  <c r="F52" i="15"/>
  <c r="F67" i="15" s="1"/>
  <c r="E52" i="15"/>
  <c r="D52" i="15"/>
  <c r="D67" i="15" s="1"/>
  <c r="C52" i="15"/>
  <c r="C67" i="15" s="1"/>
  <c r="N51" i="15"/>
  <c r="M51" i="15"/>
  <c r="L51" i="15"/>
  <c r="L66" i="15" s="1"/>
  <c r="K51" i="15"/>
  <c r="J51" i="15"/>
  <c r="I51" i="15"/>
  <c r="H51" i="15"/>
  <c r="H66" i="15" s="1"/>
  <c r="G51" i="15"/>
  <c r="F51" i="15"/>
  <c r="E51" i="15"/>
  <c r="D51" i="15"/>
  <c r="D66" i="15" s="1"/>
  <c r="C51" i="15"/>
  <c r="N50" i="15"/>
  <c r="M50" i="15"/>
  <c r="M65" i="15" s="1"/>
  <c r="L50" i="15"/>
  <c r="L65" i="15" s="1"/>
  <c r="K50" i="15"/>
  <c r="K65" i="15" s="1"/>
  <c r="J50" i="15"/>
  <c r="I50" i="15"/>
  <c r="I65" i="15" s="1"/>
  <c r="H50" i="15"/>
  <c r="H65" i="15" s="1"/>
  <c r="G50" i="15"/>
  <c r="G65" i="15" s="1"/>
  <c r="F50" i="15"/>
  <c r="E50" i="15"/>
  <c r="E65" i="15" s="1"/>
  <c r="D50" i="15"/>
  <c r="D65" i="15" s="1"/>
  <c r="C50" i="15"/>
  <c r="C65" i="15" s="1"/>
  <c r="N49" i="15"/>
  <c r="N64" i="15" s="1"/>
  <c r="M49" i="15"/>
  <c r="M64" i="15" s="1"/>
  <c r="L49" i="15"/>
  <c r="L64" i="15" s="1"/>
  <c r="K49" i="15"/>
  <c r="K64" i="15" s="1"/>
  <c r="J49" i="15"/>
  <c r="J64" i="15" s="1"/>
  <c r="I49" i="15"/>
  <c r="I64" i="15" s="1"/>
  <c r="H49" i="15"/>
  <c r="H64" i="15" s="1"/>
  <c r="G49" i="15"/>
  <c r="F49" i="15"/>
  <c r="F64" i="15" s="1"/>
  <c r="E49" i="15"/>
  <c r="E64" i="15" s="1"/>
  <c r="D49" i="15"/>
  <c r="D64" i="15" s="1"/>
  <c r="C49" i="15"/>
  <c r="C64" i="15" s="1"/>
  <c r="D48" i="15"/>
  <c r="E48" i="15"/>
  <c r="E63" i="15" s="1"/>
  <c r="F48" i="15"/>
  <c r="F63" i="15" s="1"/>
  <c r="G48" i="15"/>
  <c r="G63" i="15" s="1"/>
  <c r="H48" i="15"/>
  <c r="H63" i="15" s="1"/>
  <c r="I48" i="15"/>
  <c r="I63" i="15" s="1"/>
  <c r="J48" i="15"/>
  <c r="J63" i="15" s="1"/>
  <c r="K48" i="15"/>
  <c r="K63" i="15" s="1"/>
  <c r="L48" i="15"/>
  <c r="L63" i="15" s="1"/>
  <c r="M48" i="15"/>
  <c r="M63" i="15" s="1"/>
  <c r="N48" i="15"/>
  <c r="N63" i="15" s="1"/>
  <c r="C48" i="15"/>
  <c r="C63" i="15" s="1"/>
  <c r="N47" i="15"/>
  <c r="M47" i="15"/>
  <c r="N62" i="15" s="1"/>
  <c r="L47" i="15"/>
  <c r="K47" i="15"/>
  <c r="J47" i="15"/>
  <c r="I47" i="15"/>
  <c r="H47" i="15"/>
  <c r="I62" i="15" s="1"/>
  <c r="G47" i="15"/>
  <c r="F47" i="15"/>
  <c r="E47" i="15"/>
  <c r="D47" i="15"/>
  <c r="E62" i="15" s="1"/>
  <c r="C47" i="15"/>
  <c r="N46" i="15"/>
  <c r="N61" i="15" s="1"/>
  <c r="M46" i="15"/>
  <c r="L46" i="15"/>
  <c r="L61" i="15" s="1"/>
  <c r="K46" i="15"/>
  <c r="K61" i="15" s="1"/>
  <c r="J46" i="15"/>
  <c r="J61" i="15" s="1"/>
  <c r="I46" i="15"/>
  <c r="H46" i="15"/>
  <c r="H61" i="15" s="1"/>
  <c r="G46" i="15"/>
  <c r="F46" i="15"/>
  <c r="F61" i="15" s="1"/>
  <c r="E46" i="15"/>
  <c r="D46" i="15"/>
  <c r="D61" i="15" s="1"/>
  <c r="C46" i="15"/>
  <c r="C61" i="15" s="1"/>
  <c r="D45" i="15"/>
  <c r="D60" i="15" s="1"/>
  <c r="E45" i="15"/>
  <c r="F45" i="15"/>
  <c r="G45" i="15"/>
  <c r="H45" i="15"/>
  <c r="H60" i="15" s="1"/>
  <c r="I45" i="15"/>
  <c r="J45" i="15"/>
  <c r="K45" i="15"/>
  <c r="L45" i="15"/>
  <c r="L60" i="15" s="1"/>
  <c r="M45" i="15"/>
  <c r="N45" i="15"/>
  <c r="C45" i="15"/>
  <c r="D44" i="15"/>
  <c r="D59" i="15" s="1"/>
  <c r="E44" i="15"/>
  <c r="E59" i="15" s="1"/>
  <c r="F44" i="15"/>
  <c r="F59" i="15" s="1"/>
  <c r="G44" i="15"/>
  <c r="G59" i="15" s="1"/>
  <c r="H44" i="15"/>
  <c r="H59" i="15" s="1"/>
  <c r="I44" i="15"/>
  <c r="I59" i="15" s="1"/>
  <c r="J44" i="15"/>
  <c r="J59" i="15" s="1"/>
  <c r="K44" i="15"/>
  <c r="K59" i="15" s="1"/>
  <c r="L44" i="15"/>
  <c r="L59" i="15" s="1"/>
  <c r="M44" i="15"/>
  <c r="M59" i="15" s="1"/>
  <c r="N44" i="15"/>
  <c r="N59" i="15" s="1"/>
  <c r="C44" i="15"/>
  <c r="C59" i="15" s="1"/>
  <c r="D43" i="15"/>
  <c r="E43" i="15"/>
  <c r="F43" i="15"/>
  <c r="F58" i="15" s="1"/>
  <c r="G43" i="15"/>
  <c r="H43" i="15"/>
  <c r="I43" i="15"/>
  <c r="J43" i="15"/>
  <c r="J58" i="15" s="1"/>
  <c r="K43" i="15"/>
  <c r="L43" i="15"/>
  <c r="M43" i="15"/>
  <c r="N43" i="15"/>
  <c r="N58" i="15" s="1"/>
  <c r="C43" i="15"/>
  <c r="D42" i="15"/>
  <c r="D57" i="15" s="1"/>
  <c r="E42" i="15"/>
  <c r="E57" i="15" s="1"/>
  <c r="F42" i="15"/>
  <c r="G42" i="15"/>
  <c r="G57" i="15" s="1"/>
  <c r="H42" i="15"/>
  <c r="H57" i="15" s="1"/>
  <c r="I42" i="15"/>
  <c r="I57" i="15" s="1"/>
  <c r="J42" i="15"/>
  <c r="K42" i="15"/>
  <c r="K57" i="15" s="1"/>
  <c r="L42" i="15"/>
  <c r="L57" i="15" s="1"/>
  <c r="M42" i="15"/>
  <c r="M57" i="15" s="1"/>
  <c r="N42" i="15"/>
  <c r="C42" i="15"/>
  <c r="H5" i="15"/>
  <c r="I5" i="15" s="1"/>
  <c r="J5" i="15" s="1"/>
  <c r="K5" i="15" s="1"/>
  <c r="H4" i="15"/>
  <c r="I4" i="15" s="1"/>
  <c r="J4" i="15" s="1"/>
  <c r="K4" i="15" s="1"/>
  <c r="H7" i="15"/>
  <c r="I7" i="15" s="1"/>
  <c r="J7" i="15" s="1"/>
  <c r="K7" i="15" s="1"/>
  <c r="H3" i="15"/>
  <c r="I3" i="15" s="1"/>
  <c r="J3" i="15" s="1"/>
  <c r="K3" i="15" s="1"/>
  <c r="I56" i="17" l="1"/>
  <c r="H56" i="17"/>
  <c r="I57" i="16"/>
  <c r="F57" i="16"/>
  <c r="G57" i="16"/>
  <c r="H57" i="16"/>
  <c r="H98" i="25"/>
  <c r="H100" i="25" s="1"/>
  <c r="F35" i="13"/>
  <c r="G89" i="25"/>
  <c r="G91" i="25" s="1"/>
  <c r="F34" i="13"/>
  <c r="G86" i="25"/>
  <c r="G88" i="25" s="1"/>
  <c r="J80" i="25"/>
  <c r="J82" i="25" s="1"/>
  <c r="O73" i="11"/>
  <c r="J13" i="11"/>
  <c r="J18" i="11" s="1"/>
  <c r="J23" i="11" s="1"/>
  <c r="J28" i="11" s="1"/>
  <c r="J33" i="11" s="1"/>
  <c r="J38" i="11" s="1"/>
  <c r="J8" i="11"/>
  <c r="I13" i="11"/>
  <c r="I18" i="11" s="1"/>
  <c r="I23" i="11" s="1"/>
  <c r="I28" i="11" s="1"/>
  <c r="I33" i="11" s="1"/>
  <c r="I38" i="11" s="1"/>
  <c r="I8" i="11"/>
  <c r="A49" i="11"/>
  <c r="A60" i="11" s="1"/>
  <c r="A71" i="11" s="1"/>
  <c r="A83" i="11" s="1"/>
  <c r="A95" i="11" s="1"/>
  <c r="O63" i="15"/>
  <c r="BC63" i="15"/>
  <c r="AE63" i="15"/>
  <c r="BJ63" i="15"/>
  <c r="AT63" i="15"/>
  <c r="AD63" i="15"/>
  <c r="U63" i="15"/>
  <c r="BI63" i="15"/>
  <c r="AK63" i="15"/>
  <c r="BH63" i="15"/>
  <c r="AR63" i="15"/>
  <c r="AB63" i="15"/>
  <c r="BG63" i="15"/>
  <c r="AY63" i="15"/>
  <c r="AA63" i="15"/>
  <c r="BF63" i="15"/>
  <c r="AP63" i="15"/>
  <c r="Z63" i="15"/>
  <c r="BE63" i="15"/>
  <c r="BA63" i="15"/>
  <c r="AC63" i="15"/>
  <c r="BD63" i="15"/>
  <c r="AN63" i="15"/>
  <c r="X63" i="15"/>
  <c r="AU63" i="15"/>
  <c r="AQ63" i="15"/>
  <c r="W63" i="15"/>
  <c r="BB63" i="15"/>
  <c r="AL63" i="15"/>
  <c r="V63" i="15"/>
  <c r="AS63" i="15"/>
  <c r="AW63" i="15"/>
  <c r="Y63" i="15"/>
  <c r="AZ63" i="15"/>
  <c r="AJ63" i="15"/>
  <c r="T63" i="15"/>
  <c r="AI63" i="15"/>
  <c r="AM63" i="15"/>
  <c r="S63" i="15"/>
  <c r="AX63" i="15"/>
  <c r="AH63" i="15"/>
  <c r="R63" i="15"/>
  <c r="AG63" i="15"/>
  <c r="AO63" i="15"/>
  <c r="Q63" i="15"/>
  <c r="AV63" i="15"/>
  <c r="AF63" i="15"/>
  <c r="P63" i="15"/>
  <c r="AS67" i="15"/>
  <c r="BE67" i="15"/>
  <c r="Y67" i="15"/>
  <c r="AY67" i="15"/>
  <c r="AM67" i="15"/>
  <c r="O67" i="15"/>
  <c r="BJ67" i="15"/>
  <c r="AT67" i="15"/>
  <c r="AD67" i="15"/>
  <c r="BH67" i="15"/>
  <c r="AR67" i="15"/>
  <c r="AB67" i="15"/>
  <c r="AK67" i="15"/>
  <c r="AW67" i="15"/>
  <c r="Q67" i="15"/>
  <c r="AQ67" i="15"/>
  <c r="BG67" i="15"/>
  <c r="AI67" i="15"/>
  <c r="BF67" i="15"/>
  <c r="AP67" i="15"/>
  <c r="Z67" i="15"/>
  <c r="BD67" i="15"/>
  <c r="AN67" i="15"/>
  <c r="X67" i="15"/>
  <c r="BI67" i="15"/>
  <c r="AC67" i="15"/>
  <c r="AO67" i="15"/>
  <c r="AE67" i="15"/>
  <c r="BC67" i="15"/>
  <c r="AA67" i="15"/>
  <c r="BB67" i="15"/>
  <c r="AL67" i="15"/>
  <c r="V67" i="15"/>
  <c r="AZ67" i="15"/>
  <c r="AJ67" i="15"/>
  <c r="T67" i="15"/>
  <c r="BA67" i="15"/>
  <c r="U67" i="15"/>
  <c r="AG67" i="15"/>
  <c r="S67" i="15"/>
  <c r="AU67" i="15"/>
  <c r="W67" i="15"/>
  <c r="AX67" i="15"/>
  <c r="AH67" i="15"/>
  <c r="R67" i="15"/>
  <c r="AV67" i="15"/>
  <c r="AF67" i="15"/>
  <c r="P67" i="15"/>
  <c r="BA64" i="15"/>
  <c r="AK64" i="15"/>
  <c r="W64" i="15"/>
  <c r="BG64" i="15"/>
  <c r="AE64" i="15"/>
  <c r="BJ64" i="15"/>
  <c r="AT64" i="15"/>
  <c r="AD64" i="15"/>
  <c r="U64" i="15"/>
  <c r="BH64" i="15"/>
  <c r="AR64" i="15"/>
  <c r="AB64" i="15"/>
  <c r="AW64" i="15"/>
  <c r="AG64" i="15"/>
  <c r="BC64" i="15"/>
  <c r="AY64" i="15"/>
  <c r="AA64" i="15"/>
  <c r="BF64" i="15"/>
  <c r="AP64" i="15"/>
  <c r="Z64" i="15"/>
  <c r="AC64" i="15"/>
  <c r="BD64" i="15"/>
  <c r="AN64" i="15"/>
  <c r="X64" i="15"/>
  <c r="BI64" i="15"/>
  <c r="AS64" i="15"/>
  <c r="AQ64" i="15"/>
  <c r="AU64" i="15"/>
  <c r="S64" i="15"/>
  <c r="BB64" i="15"/>
  <c r="AL64" i="15"/>
  <c r="V64" i="15"/>
  <c r="Y64" i="15"/>
  <c r="AZ64" i="15"/>
  <c r="AJ64" i="15"/>
  <c r="T64" i="15"/>
  <c r="BE64" i="15"/>
  <c r="AO64" i="15"/>
  <c r="AI64" i="15"/>
  <c r="AM64" i="15"/>
  <c r="O64" i="15"/>
  <c r="AX64" i="15"/>
  <c r="AH64" i="15"/>
  <c r="R64" i="15"/>
  <c r="Q64" i="15"/>
  <c r="AV64" i="15"/>
  <c r="AF64" i="15"/>
  <c r="P64" i="15"/>
  <c r="BI68" i="15"/>
  <c r="AC68" i="15"/>
  <c r="AO68" i="15"/>
  <c r="AY68" i="15"/>
  <c r="AQ68" i="15"/>
  <c r="S68" i="15"/>
  <c r="BJ68" i="15"/>
  <c r="AT68" i="15"/>
  <c r="AD68" i="15"/>
  <c r="BH68" i="15"/>
  <c r="AR68" i="15"/>
  <c r="AB68" i="15"/>
  <c r="BA68" i="15"/>
  <c r="U68" i="15"/>
  <c r="AG68" i="15"/>
  <c r="AM68" i="15"/>
  <c r="BG68" i="15"/>
  <c r="AI68" i="15"/>
  <c r="BF68" i="15"/>
  <c r="AP68" i="15"/>
  <c r="Z68" i="15"/>
  <c r="BD68" i="15"/>
  <c r="AN68" i="15"/>
  <c r="X68" i="15"/>
  <c r="AS68" i="15"/>
  <c r="BE68" i="15"/>
  <c r="Y68" i="15"/>
  <c r="AA68" i="15"/>
  <c r="BC68" i="15"/>
  <c r="AE68" i="15"/>
  <c r="BB68" i="15"/>
  <c r="AL68" i="15"/>
  <c r="V68" i="15"/>
  <c r="AZ68" i="15"/>
  <c r="AJ68" i="15"/>
  <c r="T68" i="15"/>
  <c r="AK68" i="15"/>
  <c r="AW68" i="15"/>
  <c r="Q68" i="15"/>
  <c r="O68" i="15"/>
  <c r="AU68" i="15"/>
  <c r="W68" i="15"/>
  <c r="AX68" i="15"/>
  <c r="AH68" i="15"/>
  <c r="R68" i="15"/>
  <c r="AV68" i="15"/>
  <c r="AF68" i="15"/>
  <c r="P68" i="15"/>
  <c r="BE65" i="15"/>
  <c r="AK65" i="15"/>
  <c r="U65" i="15"/>
  <c r="BG65" i="15"/>
  <c r="O65" i="15"/>
  <c r="BA65" i="15"/>
  <c r="AI65" i="15"/>
  <c r="BJ65" i="15"/>
  <c r="AT65" i="15"/>
  <c r="AD65" i="15"/>
  <c r="BH65" i="15"/>
  <c r="AR65" i="15"/>
  <c r="AB65" i="15"/>
  <c r="AW65" i="15"/>
  <c r="AG65" i="15"/>
  <c r="Q65" i="15"/>
  <c r="AU65" i="15"/>
  <c r="BC65" i="15"/>
  <c r="AE65" i="15"/>
  <c r="BF65" i="15"/>
  <c r="AP65" i="15"/>
  <c r="Z65" i="15"/>
  <c r="BD65" i="15"/>
  <c r="AN65" i="15"/>
  <c r="X65" i="15"/>
  <c r="AS65" i="15"/>
  <c r="AC65" i="15"/>
  <c r="AM65" i="15"/>
  <c r="AY65" i="15"/>
  <c r="W65" i="15"/>
  <c r="BB65" i="15"/>
  <c r="AL65" i="15"/>
  <c r="V65" i="15"/>
  <c r="AZ65" i="15"/>
  <c r="AJ65" i="15"/>
  <c r="T65" i="15"/>
  <c r="BI65" i="15"/>
  <c r="AO65" i="15"/>
  <c r="Y65" i="15"/>
  <c r="AA65" i="15"/>
  <c r="AQ65" i="15"/>
  <c r="S65" i="15"/>
  <c r="AX65" i="15"/>
  <c r="AH65" i="15"/>
  <c r="R65" i="15"/>
  <c r="AV65" i="15"/>
  <c r="AF65" i="15"/>
  <c r="P65" i="15"/>
  <c r="O62" i="15"/>
  <c r="M62" i="15"/>
  <c r="M92" i="15" s="1"/>
  <c r="BI66" i="15"/>
  <c r="AC66" i="15"/>
  <c r="BG66" i="15"/>
  <c r="AM66" i="15"/>
  <c r="O66" i="15"/>
  <c r="BJ66" i="15"/>
  <c r="AT66" i="15"/>
  <c r="AD66" i="15"/>
  <c r="BH66" i="15"/>
  <c r="AR66" i="15"/>
  <c r="AB66" i="15"/>
  <c r="BA66" i="15"/>
  <c r="Y66" i="15"/>
  <c r="AU66" i="15"/>
  <c r="AW66" i="15"/>
  <c r="BC66" i="15"/>
  <c r="AE66" i="15"/>
  <c r="BF66" i="15"/>
  <c r="AP66" i="15"/>
  <c r="Z66" i="15"/>
  <c r="BD66" i="15"/>
  <c r="AN66" i="15"/>
  <c r="X66" i="15"/>
  <c r="AS66" i="15"/>
  <c r="Q66" i="15"/>
  <c r="BE66" i="15"/>
  <c r="AI66" i="15"/>
  <c r="AO66" i="15"/>
  <c r="AY66" i="15"/>
  <c r="AA66" i="15"/>
  <c r="BB66" i="15"/>
  <c r="AL66" i="15"/>
  <c r="V66" i="15"/>
  <c r="AZ66" i="15"/>
  <c r="AJ66" i="15"/>
  <c r="T66" i="15"/>
  <c r="AK66" i="15"/>
  <c r="U66" i="15"/>
  <c r="S66" i="15"/>
  <c r="AG66" i="15"/>
  <c r="AQ66" i="15"/>
  <c r="W66" i="15"/>
  <c r="AX66" i="15"/>
  <c r="AH66" i="15"/>
  <c r="R66" i="15"/>
  <c r="AV66" i="15"/>
  <c r="AF66" i="15"/>
  <c r="P66" i="15"/>
  <c r="P62" i="15"/>
  <c r="O91" i="15"/>
  <c r="O90" i="15" s="1"/>
  <c r="O92" i="15"/>
  <c r="O60" i="15"/>
  <c r="S60" i="15"/>
  <c r="W60" i="15"/>
  <c r="AA60" i="15"/>
  <c r="AE60" i="15"/>
  <c r="AI60" i="15"/>
  <c r="AM60" i="15"/>
  <c r="AQ60" i="15"/>
  <c r="AU60" i="15"/>
  <c r="AY60" i="15"/>
  <c r="BC60" i="15"/>
  <c r="BG60" i="15"/>
  <c r="Z60" i="15"/>
  <c r="P60" i="15"/>
  <c r="T60" i="15"/>
  <c r="X60" i="15"/>
  <c r="AB60" i="15"/>
  <c r="AF60" i="15"/>
  <c r="AJ60" i="15"/>
  <c r="AN60" i="15"/>
  <c r="AR60" i="15"/>
  <c r="AV60" i="15"/>
  <c r="AZ60" i="15"/>
  <c r="BD60" i="15"/>
  <c r="BH60" i="15"/>
  <c r="V60" i="15"/>
  <c r="AH60" i="15"/>
  <c r="AP60" i="15"/>
  <c r="AX60" i="15"/>
  <c r="BF60" i="15"/>
  <c r="Q60" i="15"/>
  <c r="U60" i="15"/>
  <c r="Y60" i="15"/>
  <c r="AC60" i="15"/>
  <c r="AG60" i="15"/>
  <c r="AK60" i="15"/>
  <c r="AO60" i="15"/>
  <c r="AS60" i="15"/>
  <c r="AW60" i="15"/>
  <c r="BA60" i="15"/>
  <c r="BE60" i="15"/>
  <c r="BI60" i="15"/>
  <c r="R60" i="15"/>
  <c r="AD60" i="15"/>
  <c r="AL60" i="15"/>
  <c r="AT60" i="15"/>
  <c r="BB60" i="15"/>
  <c r="BJ60" i="15"/>
  <c r="O61" i="15"/>
  <c r="S61" i="15"/>
  <c r="W61" i="15"/>
  <c r="AA61" i="15"/>
  <c r="AE61" i="15"/>
  <c r="AI61" i="15"/>
  <c r="AM61" i="15"/>
  <c r="AQ61" i="15"/>
  <c r="AU61" i="15"/>
  <c r="AY61" i="15"/>
  <c r="BC61" i="15"/>
  <c r="BG61" i="15"/>
  <c r="P61" i="15"/>
  <c r="T61" i="15"/>
  <c r="X61" i="15"/>
  <c r="AB61" i="15"/>
  <c r="AF61" i="15"/>
  <c r="AJ61" i="15"/>
  <c r="AN61" i="15"/>
  <c r="AR61" i="15"/>
  <c r="AV61" i="15"/>
  <c r="AZ61" i="15"/>
  <c r="BD61" i="15"/>
  <c r="BH61" i="15"/>
  <c r="R61" i="15"/>
  <c r="Z61" i="15"/>
  <c r="AH61" i="15"/>
  <c r="AP61" i="15"/>
  <c r="AX61" i="15"/>
  <c r="BB61" i="15"/>
  <c r="BJ61" i="15"/>
  <c r="Q61" i="15"/>
  <c r="U61" i="15"/>
  <c r="Y61" i="15"/>
  <c r="AC61" i="15"/>
  <c r="AG61" i="15"/>
  <c r="AK61" i="15"/>
  <c r="AO61" i="15"/>
  <c r="AS61" i="15"/>
  <c r="AW61" i="15"/>
  <c r="BA61" i="15"/>
  <c r="BE61" i="15"/>
  <c r="BI61" i="15"/>
  <c r="V61" i="15"/>
  <c r="AD61" i="15"/>
  <c r="AL61" i="15"/>
  <c r="AT61" i="15"/>
  <c r="BF61" i="15"/>
  <c r="O59" i="15"/>
  <c r="S59" i="15"/>
  <c r="W59" i="15"/>
  <c r="AA59" i="15"/>
  <c r="AE59" i="15"/>
  <c r="AI59" i="15"/>
  <c r="AM59" i="15"/>
  <c r="AQ59" i="15"/>
  <c r="AU59" i="15"/>
  <c r="AY59" i="15"/>
  <c r="BC59" i="15"/>
  <c r="BG59" i="15"/>
  <c r="V59" i="15"/>
  <c r="Z59" i="15"/>
  <c r="AH59" i="15"/>
  <c r="AL59" i="15"/>
  <c r="AT59" i="15"/>
  <c r="AX59" i="15"/>
  <c r="BF59" i="15"/>
  <c r="P59" i="15"/>
  <c r="T59" i="15"/>
  <c r="X59" i="15"/>
  <c r="AB59" i="15"/>
  <c r="AF59" i="15"/>
  <c r="AJ59" i="15"/>
  <c r="AN59" i="15"/>
  <c r="AR59" i="15"/>
  <c r="AV59" i="15"/>
  <c r="AZ59" i="15"/>
  <c r="BD59" i="15"/>
  <c r="BH59" i="15"/>
  <c r="R59" i="15"/>
  <c r="AD59" i="15"/>
  <c r="AP59" i="15"/>
  <c r="BB59" i="15"/>
  <c r="BJ59" i="15"/>
  <c r="Q59" i="15"/>
  <c r="U59" i="15"/>
  <c r="Y59" i="15"/>
  <c r="AC59" i="15"/>
  <c r="AG59" i="15"/>
  <c r="AK59" i="15"/>
  <c r="AO59" i="15"/>
  <c r="AS59" i="15"/>
  <c r="AW59" i="15"/>
  <c r="BA59" i="15"/>
  <c r="BE59" i="15"/>
  <c r="BI59" i="15"/>
  <c r="O57" i="15"/>
  <c r="S57" i="15"/>
  <c r="W57" i="15"/>
  <c r="AA57" i="15"/>
  <c r="AE57" i="15"/>
  <c r="AI57" i="15"/>
  <c r="AM57" i="15"/>
  <c r="AQ57" i="15"/>
  <c r="AU57" i="15"/>
  <c r="AY57" i="15"/>
  <c r="BC57" i="15"/>
  <c r="BG57" i="15"/>
  <c r="R57" i="15"/>
  <c r="AD57" i="15"/>
  <c r="AH57" i="15"/>
  <c r="AP57" i="15"/>
  <c r="AT57" i="15"/>
  <c r="BB57" i="15"/>
  <c r="BJ57" i="15"/>
  <c r="P57" i="15"/>
  <c r="T57" i="15"/>
  <c r="X57" i="15"/>
  <c r="AB57" i="15"/>
  <c r="AF57" i="15"/>
  <c r="AJ57" i="15"/>
  <c r="AN57" i="15"/>
  <c r="AR57" i="15"/>
  <c r="AV57" i="15"/>
  <c r="AZ57" i="15"/>
  <c r="BD57" i="15"/>
  <c r="BH57" i="15"/>
  <c r="V57" i="15"/>
  <c r="AL57" i="15"/>
  <c r="AX57" i="15"/>
  <c r="BF57" i="15"/>
  <c r="Q57" i="15"/>
  <c r="U57" i="15"/>
  <c r="Y57" i="15"/>
  <c r="AC57" i="15"/>
  <c r="AG57" i="15"/>
  <c r="AK57" i="15"/>
  <c r="AO57" i="15"/>
  <c r="AS57" i="15"/>
  <c r="AW57" i="15"/>
  <c r="BA57" i="15"/>
  <c r="BE57" i="15"/>
  <c r="BI57" i="15"/>
  <c r="N57" i="15"/>
  <c r="Z57" i="15"/>
  <c r="O58" i="15"/>
  <c r="S58" i="15"/>
  <c r="W58" i="15"/>
  <c r="AA58" i="15"/>
  <c r="AE58" i="15"/>
  <c r="AI58" i="15"/>
  <c r="AM58" i="15"/>
  <c r="AQ58" i="15"/>
  <c r="AU58" i="15"/>
  <c r="AY58" i="15"/>
  <c r="BC58" i="15"/>
  <c r="BG58" i="15"/>
  <c r="R58" i="15"/>
  <c r="Z58" i="15"/>
  <c r="AD58" i="15"/>
  <c r="AL58" i="15"/>
  <c r="AT58" i="15"/>
  <c r="AX58" i="15"/>
  <c r="BF58" i="15"/>
  <c r="BJ58" i="15"/>
  <c r="P58" i="15"/>
  <c r="T58" i="15"/>
  <c r="X58" i="15"/>
  <c r="AB58" i="15"/>
  <c r="AF58" i="15"/>
  <c r="AJ58" i="15"/>
  <c r="AN58" i="15"/>
  <c r="AR58" i="15"/>
  <c r="AV58" i="15"/>
  <c r="AZ58" i="15"/>
  <c r="BD58" i="15"/>
  <c r="BH58" i="15"/>
  <c r="V58" i="15"/>
  <c r="AH58" i="15"/>
  <c r="AP58" i="15"/>
  <c r="BB58" i="15"/>
  <c r="Q58" i="15"/>
  <c r="U58" i="15"/>
  <c r="Y58" i="15"/>
  <c r="AC58" i="15"/>
  <c r="AG58" i="15"/>
  <c r="AK58" i="15"/>
  <c r="AO58" i="15"/>
  <c r="AS58" i="15"/>
  <c r="AW58" i="15"/>
  <c r="BA58" i="15"/>
  <c r="BE58" i="15"/>
  <c r="BI58" i="15"/>
  <c r="C60" i="15"/>
  <c r="C85" i="15" s="1"/>
  <c r="K60" i="15"/>
  <c r="G60" i="15"/>
  <c r="J60" i="15"/>
  <c r="F60" i="15"/>
  <c r="N60" i="15"/>
  <c r="M60" i="15"/>
  <c r="I60" i="15"/>
  <c r="E60" i="15"/>
  <c r="B48" i="11"/>
  <c r="D48" i="11" s="1"/>
  <c r="I19" i="18"/>
  <c r="B57" i="11"/>
  <c r="B68" i="11" s="1"/>
  <c r="B58" i="11"/>
  <c r="B69" i="11" s="1"/>
  <c r="T65" i="11"/>
  <c r="T77" i="11" s="1"/>
  <c r="P65" i="11"/>
  <c r="P77" i="11" s="1"/>
  <c r="P85" i="11" s="1"/>
  <c r="B71" i="11"/>
  <c r="H32" i="19"/>
  <c r="G32" i="19"/>
  <c r="G35" i="19" s="1"/>
  <c r="G41" i="19" s="1"/>
  <c r="G48" i="19" s="1"/>
  <c r="F32" i="19"/>
  <c r="F34" i="19" s="1"/>
  <c r="F40" i="19" s="1"/>
  <c r="F47" i="19" s="1"/>
  <c r="B47" i="11"/>
  <c r="M47" i="11" s="1"/>
  <c r="B46" i="11"/>
  <c r="N46" i="11" s="1"/>
  <c r="I66" i="15"/>
  <c r="I103" i="15" s="1"/>
  <c r="N65" i="15"/>
  <c r="Y60" i="11"/>
  <c r="U60" i="11"/>
  <c r="Q60" i="11"/>
  <c r="D49" i="11"/>
  <c r="H49" i="11"/>
  <c r="L49" i="11"/>
  <c r="P49" i="11"/>
  <c r="T49" i="11"/>
  <c r="X49" i="11"/>
  <c r="AB49" i="11"/>
  <c r="AF49" i="11"/>
  <c r="E49" i="11"/>
  <c r="I49" i="11"/>
  <c r="M49" i="11"/>
  <c r="Q49" i="11"/>
  <c r="U49" i="11"/>
  <c r="Y49" i="11"/>
  <c r="AC49" i="11"/>
  <c r="AG49" i="11"/>
  <c r="K49" i="11"/>
  <c r="S49" i="11"/>
  <c r="AA49" i="11"/>
  <c r="F49" i="11"/>
  <c r="J49" i="11"/>
  <c r="N49" i="11"/>
  <c r="R49" i="11"/>
  <c r="V49" i="11"/>
  <c r="Z49" i="11"/>
  <c r="AD49" i="11"/>
  <c r="AH49" i="11"/>
  <c r="G49" i="11"/>
  <c r="O49" i="11"/>
  <c r="W49" i="11"/>
  <c r="AE49" i="11"/>
  <c r="A20" i="11"/>
  <c r="A31" i="11" s="1"/>
  <c r="X60" i="11"/>
  <c r="T60" i="11"/>
  <c r="P60" i="11"/>
  <c r="AA60" i="11"/>
  <c r="W60" i="11"/>
  <c r="S60" i="11"/>
  <c r="O60" i="11"/>
  <c r="Z60" i="11"/>
  <c r="V60" i="11"/>
  <c r="R60" i="11"/>
  <c r="H18" i="11"/>
  <c r="A47" i="11"/>
  <c r="A58" i="11" s="1"/>
  <c r="A69" i="11" s="1"/>
  <c r="A81" i="11" s="1"/>
  <c r="A93" i="11" s="1"/>
  <c r="H23" i="11"/>
  <c r="Q59" i="11"/>
  <c r="B70" i="11"/>
  <c r="P59" i="11"/>
  <c r="A19" i="11"/>
  <c r="A30" i="11" s="1"/>
  <c r="S59" i="11"/>
  <c r="O59" i="11"/>
  <c r="R59" i="11"/>
  <c r="H13" i="11"/>
  <c r="A46" i="11"/>
  <c r="A57" i="11" s="1"/>
  <c r="A68" i="11" s="1"/>
  <c r="A80" i="11" s="1"/>
  <c r="A92" i="11" s="1"/>
  <c r="H3" i="11"/>
  <c r="A44" i="11"/>
  <c r="A55" i="11" s="1"/>
  <c r="A66" i="11" s="1"/>
  <c r="A78" i="11" s="1"/>
  <c r="A90" i="11" s="1"/>
  <c r="A60" i="22"/>
  <c r="A48" i="22"/>
  <c r="D13" i="22"/>
  <c r="B39" i="22"/>
  <c r="K13" i="22"/>
  <c r="C71" i="22"/>
  <c r="C54" i="15"/>
  <c r="C148" i="15" s="1"/>
  <c r="D13" i="18"/>
  <c r="C55" i="18"/>
  <c r="B64" i="18"/>
  <c r="B70" i="18" s="1"/>
  <c r="K13" i="18"/>
  <c r="BE65" i="11"/>
  <c r="BE77" i="11" s="1"/>
  <c r="AW65" i="11"/>
  <c r="AW77" i="11" s="1"/>
  <c r="AK65" i="11"/>
  <c r="AK77" i="11" s="1"/>
  <c r="Y65" i="11"/>
  <c r="Y77" i="11" s="1"/>
  <c r="BH65" i="11"/>
  <c r="BH77" i="11" s="1"/>
  <c r="BD65" i="11"/>
  <c r="BD77" i="11" s="1"/>
  <c r="AZ65" i="11"/>
  <c r="AZ77" i="11" s="1"/>
  <c r="AV65" i="11"/>
  <c r="AV77" i="11" s="1"/>
  <c r="AR65" i="11"/>
  <c r="AR77" i="11" s="1"/>
  <c r="AN65" i="11"/>
  <c r="AN77" i="11" s="1"/>
  <c r="AJ65" i="11"/>
  <c r="AJ77" i="11" s="1"/>
  <c r="AF65" i="11"/>
  <c r="AF77" i="11" s="1"/>
  <c r="AB65" i="11"/>
  <c r="AB77" i="11" s="1"/>
  <c r="X65" i="11"/>
  <c r="X77" i="11" s="1"/>
  <c r="BI65" i="11"/>
  <c r="BI77" i="11" s="1"/>
  <c r="AS65" i="11"/>
  <c r="AS77" i="11" s="1"/>
  <c r="AG65" i="11"/>
  <c r="AG77" i="11" s="1"/>
  <c r="U65" i="11"/>
  <c r="U77" i="11" s="1"/>
  <c r="BG65" i="11"/>
  <c r="BG77" i="11" s="1"/>
  <c r="BC65" i="11"/>
  <c r="BC77" i="11" s="1"/>
  <c r="AY65" i="11"/>
  <c r="AY77" i="11" s="1"/>
  <c r="AU65" i="11"/>
  <c r="AU77" i="11" s="1"/>
  <c r="AQ65" i="11"/>
  <c r="AQ77" i="11" s="1"/>
  <c r="AM65" i="11"/>
  <c r="AM77" i="11" s="1"/>
  <c r="AI65" i="11"/>
  <c r="AI77" i="11" s="1"/>
  <c r="AE65" i="11"/>
  <c r="AE77" i="11" s="1"/>
  <c r="AA65" i="11"/>
  <c r="AA77" i="11" s="1"/>
  <c r="W65" i="11"/>
  <c r="W77" i="11" s="1"/>
  <c r="S65" i="11"/>
  <c r="S77" i="11" s="1"/>
  <c r="O65" i="11"/>
  <c r="O77" i="11" s="1"/>
  <c r="O85" i="11" s="1"/>
  <c r="BA65" i="11"/>
  <c r="BA77" i="11" s="1"/>
  <c r="AO65" i="11"/>
  <c r="AO77" i="11" s="1"/>
  <c r="AC65" i="11"/>
  <c r="AC77" i="11" s="1"/>
  <c r="Q65" i="11"/>
  <c r="Q77" i="11" s="1"/>
  <c r="BJ65" i="11"/>
  <c r="BJ77" i="11" s="1"/>
  <c r="BF65" i="11"/>
  <c r="BF77" i="11" s="1"/>
  <c r="BB65" i="11"/>
  <c r="BB77" i="11" s="1"/>
  <c r="AX65" i="11"/>
  <c r="AX77" i="11" s="1"/>
  <c r="AT65" i="11"/>
  <c r="AT77" i="11" s="1"/>
  <c r="AP65" i="11"/>
  <c r="AP77" i="11" s="1"/>
  <c r="AL65" i="11"/>
  <c r="AL77" i="11" s="1"/>
  <c r="AH65" i="11"/>
  <c r="AH77" i="11" s="1"/>
  <c r="AD65" i="11"/>
  <c r="AD77" i="11" s="1"/>
  <c r="Z65" i="11"/>
  <c r="Z77" i="11" s="1"/>
  <c r="V65" i="11"/>
  <c r="V77" i="11" s="1"/>
  <c r="R65" i="11"/>
  <c r="R77" i="11" s="1"/>
  <c r="B44" i="17"/>
  <c r="B50" i="17" s="1"/>
  <c r="B42" i="16"/>
  <c r="B48" i="16" s="1"/>
  <c r="C56" i="16"/>
  <c r="D56" i="16" s="1"/>
  <c r="E56" i="16" s="1"/>
  <c r="F56" i="16" s="1"/>
  <c r="F60" i="16"/>
  <c r="C35" i="16"/>
  <c r="K13" i="16"/>
  <c r="D13" i="16"/>
  <c r="D3" i="11"/>
  <c r="B65" i="17"/>
  <c r="B71" i="17" s="1"/>
  <c r="C55" i="17"/>
  <c r="D13" i="17"/>
  <c r="K13" i="17"/>
  <c r="F59" i="17"/>
  <c r="B36" i="19"/>
  <c r="B42" i="19" s="1"/>
  <c r="B49" i="19" s="1"/>
  <c r="C36" i="19"/>
  <c r="C42" i="19" s="1"/>
  <c r="C49" i="19" s="1"/>
  <c r="B35" i="19"/>
  <c r="B41" i="19" s="1"/>
  <c r="B48" i="19" s="1"/>
  <c r="D33" i="19"/>
  <c r="D39" i="19" s="1"/>
  <c r="D46" i="19" s="1"/>
  <c r="E35" i="19"/>
  <c r="E41" i="19" s="1"/>
  <c r="E48" i="19" s="1"/>
  <c r="D34" i="19"/>
  <c r="D40" i="19" s="1"/>
  <c r="D47" i="19" s="1"/>
  <c r="E33" i="19"/>
  <c r="E39" i="19" s="1"/>
  <c r="E46" i="19" s="1"/>
  <c r="C33" i="19"/>
  <c r="C39" i="19" s="1"/>
  <c r="C46" i="19" s="1"/>
  <c r="E36" i="19"/>
  <c r="E42" i="19" s="1"/>
  <c r="E49" i="19" s="1"/>
  <c r="D35" i="19"/>
  <c r="D41" i="19" s="1"/>
  <c r="D48" i="19" s="1"/>
  <c r="C34" i="19"/>
  <c r="C40" i="19" s="1"/>
  <c r="C47" i="19" s="1"/>
  <c r="B33" i="19"/>
  <c r="B39" i="19" s="1"/>
  <c r="B46" i="19" s="1"/>
  <c r="H33" i="13"/>
  <c r="L33" i="13"/>
  <c r="C43" i="13"/>
  <c r="E113" i="25" s="1"/>
  <c r="E115" i="25" s="1"/>
  <c r="F33" i="13"/>
  <c r="K33" i="13"/>
  <c r="G33" i="13"/>
  <c r="D43" i="13"/>
  <c r="F113" i="25" s="1"/>
  <c r="F115" i="25" s="1"/>
  <c r="N33" i="13"/>
  <c r="J33" i="13"/>
  <c r="E43" i="13"/>
  <c r="G113" i="25" s="1"/>
  <c r="G115" i="25" s="1"/>
  <c r="M33" i="13"/>
  <c r="G42" i="13"/>
  <c r="M58" i="15"/>
  <c r="M80" i="15" s="1"/>
  <c r="I58" i="15"/>
  <c r="I79" i="15" s="1"/>
  <c r="E58" i="15"/>
  <c r="E80" i="15" s="1"/>
  <c r="F62" i="15"/>
  <c r="F92" i="15" s="1"/>
  <c r="J62" i="15"/>
  <c r="J92" i="15" s="1"/>
  <c r="E66" i="15"/>
  <c r="E104" i="15" s="1"/>
  <c r="M66" i="15"/>
  <c r="L58" i="15"/>
  <c r="L80" i="15" s="1"/>
  <c r="H58" i="15"/>
  <c r="H79" i="15" s="1"/>
  <c r="D58" i="15"/>
  <c r="D79" i="15" s="1"/>
  <c r="G62" i="15"/>
  <c r="G92" i="15" s="1"/>
  <c r="K62" i="15"/>
  <c r="K92" i="15" s="1"/>
  <c r="F66" i="15"/>
  <c r="F103" i="15" s="1"/>
  <c r="J66" i="15"/>
  <c r="J104" i="15" s="1"/>
  <c r="N66" i="15"/>
  <c r="K58" i="15"/>
  <c r="K79" i="15" s="1"/>
  <c r="G58" i="15"/>
  <c r="G79" i="15" s="1"/>
  <c r="H62" i="15"/>
  <c r="H91" i="15" s="1"/>
  <c r="L62" i="15"/>
  <c r="L92" i="15" s="1"/>
  <c r="G66" i="15"/>
  <c r="G103" i="15" s="1"/>
  <c r="K66" i="15"/>
  <c r="E61" i="15"/>
  <c r="E89" i="15" s="1"/>
  <c r="H98" i="15"/>
  <c r="F57" i="15"/>
  <c r="M61" i="15"/>
  <c r="I61" i="15"/>
  <c r="I89" i="15" s="1"/>
  <c r="J65" i="15"/>
  <c r="J100" i="15" s="1"/>
  <c r="F65" i="15"/>
  <c r="F100" i="15" s="1"/>
  <c r="G64" i="15"/>
  <c r="H88" i="15"/>
  <c r="H95" i="15"/>
  <c r="H107" i="15"/>
  <c r="J57" i="15"/>
  <c r="F107" i="15"/>
  <c r="C62" i="15"/>
  <c r="C91" i="15" s="1"/>
  <c r="C66" i="15"/>
  <c r="C103" i="15" s="1"/>
  <c r="G61" i="15"/>
  <c r="G89" i="15" s="1"/>
  <c r="E67" i="15"/>
  <c r="E107" i="15" s="1"/>
  <c r="F89" i="15"/>
  <c r="F95" i="15"/>
  <c r="J107" i="15"/>
  <c r="E95" i="15"/>
  <c r="C57" i="15"/>
  <c r="C77" i="15" s="1"/>
  <c r="C58" i="15"/>
  <c r="C79" i="15" s="1"/>
  <c r="D63" i="15"/>
  <c r="E92" i="15"/>
  <c r="N92" i="15"/>
  <c r="I91" i="15"/>
  <c r="N80" i="15"/>
  <c r="K88" i="15"/>
  <c r="G82" i="15"/>
  <c r="C86" i="15"/>
  <c r="C88" i="15"/>
  <c r="C94" i="15"/>
  <c r="C98" i="15"/>
  <c r="C101" i="15"/>
  <c r="C106" i="15"/>
  <c r="C110" i="15"/>
  <c r="N79" i="15"/>
  <c r="C109" i="15"/>
  <c r="C89" i="15"/>
  <c r="J79" i="15"/>
  <c r="J80" i="15"/>
  <c r="C100" i="15"/>
  <c r="E91" i="15"/>
  <c r="I92" i="15"/>
  <c r="F79" i="15"/>
  <c r="F80" i="15"/>
  <c r="H94" i="15"/>
  <c r="C83" i="15"/>
  <c r="C95" i="15"/>
  <c r="C107" i="15"/>
  <c r="C97" i="15"/>
  <c r="C82" i="15"/>
  <c r="M91" i="15"/>
  <c r="H97" i="15"/>
  <c r="J106" i="15"/>
  <c r="G101" i="15"/>
  <c r="G100" i="15"/>
  <c r="F88" i="15"/>
  <c r="F91" i="15"/>
  <c r="F94" i="15"/>
  <c r="H106" i="15"/>
  <c r="H89" i="15"/>
  <c r="K101" i="15"/>
  <c r="K100" i="15"/>
  <c r="I95" i="15"/>
  <c r="K107" i="15"/>
  <c r="K106" i="15"/>
  <c r="H110" i="15"/>
  <c r="H109" i="15"/>
  <c r="F106" i="15"/>
  <c r="K89" i="15"/>
  <c r="J89" i="15"/>
  <c r="E83" i="15"/>
  <c r="G107" i="15"/>
  <c r="G106" i="15"/>
  <c r="H86" i="15"/>
  <c r="H104" i="15"/>
  <c r="H103" i="15"/>
  <c r="L110" i="15"/>
  <c r="L109" i="15"/>
  <c r="E82" i="15"/>
  <c r="H85" i="15"/>
  <c r="J88" i="15"/>
  <c r="E94" i="15"/>
  <c r="G83" i="15"/>
  <c r="G95" i="15"/>
  <c r="G94" i="15"/>
  <c r="E101" i="15"/>
  <c r="E100" i="15"/>
  <c r="I101" i="15"/>
  <c r="I100" i="15"/>
  <c r="I107" i="15"/>
  <c r="I106" i="15"/>
  <c r="N91" i="15"/>
  <c r="I94" i="15"/>
  <c r="D62" i="15"/>
  <c r="L54" i="15"/>
  <c r="L148" i="15" s="1"/>
  <c r="H54" i="15"/>
  <c r="H148" i="15" s="1"/>
  <c r="D54" i="15"/>
  <c r="D148" i="15" s="1"/>
  <c r="K54" i="15"/>
  <c r="K148" i="15" s="1"/>
  <c r="G54" i="15"/>
  <c r="G148" i="15" s="1"/>
  <c r="N54" i="15"/>
  <c r="N148" i="15" s="1"/>
  <c r="J54" i="15"/>
  <c r="J148" i="15" s="1"/>
  <c r="F54" i="15"/>
  <c r="F148" i="15" s="1"/>
  <c r="M54" i="15"/>
  <c r="M148" i="15" s="1"/>
  <c r="I54" i="15"/>
  <c r="I148" i="15" s="1"/>
  <c r="E54" i="15"/>
  <c r="E148" i="15" s="1"/>
  <c r="C42" i="16" l="1"/>
  <c r="D42" i="16" s="1"/>
  <c r="E42" i="16" s="1"/>
  <c r="F42" i="16" s="1"/>
  <c r="G42" i="16" s="1"/>
  <c r="H42" i="16" s="1"/>
  <c r="I42" i="16" s="1"/>
  <c r="J42" i="16" s="1"/>
  <c r="K42" i="16" s="1"/>
  <c r="L42" i="16" s="1"/>
  <c r="M42" i="16" s="1"/>
  <c r="N42" i="16" s="1"/>
  <c r="O42" i="16" s="1"/>
  <c r="P42" i="16" s="1"/>
  <c r="Q42" i="16" s="1"/>
  <c r="R42" i="16" s="1"/>
  <c r="S42" i="16" s="1"/>
  <c r="T42" i="16" s="1"/>
  <c r="U42" i="16" s="1"/>
  <c r="V42" i="16" s="1"/>
  <c r="W42" i="16" s="1"/>
  <c r="X42" i="16" s="1"/>
  <c r="Y42" i="16" s="1"/>
  <c r="Z42" i="16" s="1"/>
  <c r="AA42" i="16" s="1"/>
  <c r="AB42" i="16" s="1"/>
  <c r="AC42" i="16" s="1"/>
  <c r="AD42" i="16" s="1"/>
  <c r="AE42" i="16" s="1"/>
  <c r="AF42" i="16" s="1"/>
  <c r="AG42" i="16" s="1"/>
  <c r="AH42" i="16" s="1"/>
  <c r="AI42" i="16" s="1"/>
  <c r="AJ42" i="16" s="1"/>
  <c r="AK42" i="16" s="1"/>
  <c r="AL42" i="16" s="1"/>
  <c r="AM42" i="16" s="1"/>
  <c r="AN42" i="16" s="1"/>
  <c r="AO42" i="16" s="1"/>
  <c r="AP42" i="16" s="1"/>
  <c r="AQ42" i="16" s="1"/>
  <c r="AR42" i="16" s="1"/>
  <c r="AS42" i="16" s="1"/>
  <c r="AT42" i="16" s="1"/>
  <c r="AU42" i="16" s="1"/>
  <c r="H36" i="19"/>
  <c r="H42" i="19" s="1"/>
  <c r="H49" i="19" s="1"/>
  <c r="H33" i="19"/>
  <c r="I98" i="25"/>
  <c r="I100" i="25" s="1"/>
  <c r="G35" i="13"/>
  <c r="H89" i="25"/>
  <c r="H91" i="25" s="1"/>
  <c r="G34" i="13"/>
  <c r="H86" i="25"/>
  <c r="H88" i="25" s="1"/>
  <c r="H34" i="19"/>
  <c r="H40" i="19" s="1"/>
  <c r="H47" i="19" s="1"/>
  <c r="F35" i="19"/>
  <c r="F41" i="19" s="1"/>
  <c r="F48" i="19" s="1"/>
  <c r="H39" i="19"/>
  <c r="J32" i="13"/>
  <c r="K80" i="25"/>
  <c r="K82" i="25" s="1"/>
  <c r="Z83" i="11"/>
  <c r="Z82" i="11"/>
  <c r="W83" i="11"/>
  <c r="W82" i="11"/>
  <c r="Y83" i="11"/>
  <c r="Y82" i="11"/>
  <c r="AA83" i="11"/>
  <c r="AA82" i="11"/>
  <c r="V83" i="11"/>
  <c r="V82" i="11"/>
  <c r="R84" i="11"/>
  <c r="R83" i="11"/>
  <c r="R82" i="11"/>
  <c r="Q83" i="11"/>
  <c r="Q82" i="11"/>
  <c r="Q84" i="11"/>
  <c r="O83" i="11"/>
  <c r="O82" i="11"/>
  <c r="O84" i="11"/>
  <c r="U83" i="11"/>
  <c r="U82" i="11"/>
  <c r="X83" i="11"/>
  <c r="X82" i="11"/>
  <c r="P83" i="11"/>
  <c r="P82" i="11"/>
  <c r="P84" i="11"/>
  <c r="S83" i="11"/>
  <c r="S82" i="11"/>
  <c r="T83" i="11"/>
  <c r="T82" i="11"/>
  <c r="T48" i="11"/>
  <c r="I48" i="11"/>
  <c r="Y48" i="11"/>
  <c r="J48" i="11"/>
  <c r="K48" i="11"/>
  <c r="H48" i="11"/>
  <c r="X48" i="11"/>
  <c r="M48" i="11"/>
  <c r="G48" i="11"/>
  <c r="N48" i="11"/>
  <c r="S48" i="11"/>
  <c r="S70" i="11" s="1"/>
  <c r="L48" i="11"/>
  <c r="C48" i="11"/>
  <c r="Q48" i="11"/>
  <c r="O48" i="11"/>
  <c r="O70" i="11" s="1"/>
  <c r="R48" i="11"/>
  <c r="R70" i="11" s="1"/>
  <c r="P48" i="11"/>
  <c r="P70" i="11" s="1"/>
  <c r="E48" i="11"/>
  <c r="U48" i="11"/>
  <c r="F48" i="11"/>
  <c r="V48" i="11"/>
  <c r="W48" i="11"/>
  <c r="BE82" i="15"/>
  <c r="BE83" i="15"/>
  <c r="Y82" i="15"/>
  <c r="Y83" i="15"/>
  <c r="BH82" i="15"/>
  <c r="BH83" i="15"/>
  <c r="BH81" i="15" s="1"/>
  <c r="AB82" i="15"/>
  <c r="AB81" i="15" s="1"/>
  <c r="AB83" i="15"/>
  <c r="AH83" i="15"/>
  <c r="AH82" i="15"/>
  <c r="AH81" i="15" s="1"/>
  <c r="AM82" i="15"/>
  <c r="AM81" i="15" s="1"/>
  <c r="AM83" i="15"/>
  <c r="AT88" i="15"/>
  <c r="AT89" i="15"/>
  <c r="AS89" i="15"/>
  <c r="AS87" i="15" s="1"/>
  <c r="AS88" i="15"/>
  <c r="BJ89" i="15"/>
  <c r="BJ88" i="15"/>
  <c r="BJ87" i="15" s="1"/>
  <c r="BD88" i="15"/>
  <c r="BD89" i="15"/>
  <c r="X89" i="15"/>
  <c r="X88" i="15"/>
  <c r="X87" i="15" s="1"/>
  <c r="AM88" i="15"/>
  <c r="AM87" i="15" s="1"/>
  <c r="AM89" i="15"/>
  <c r="BB86" i="15"/>
  <c r="BB85" i="15"/>
  <c r="AW85" i="15"/>
  <c r="AW84" i="15" s="1"/>
  <c r="AW86" i="15"/>
  <c r="Q85" i="15"/>
  <c r="Q86" i="15"/>
  <c r="AZ86" i="15"/>
  <c r="AZ84" i="15" s="1"/>
  <c r="AZ85" i="15"/>
  <c r="AJ86" i="15"/>
  <c r="AJ85" i="15"/>
  <c r="BC86" i="15"/>
  <c r="BC85" i="15"/>
  <c r="AM86" i="15"/>
  <c r="AM85" i="15"/>
  <c r="W86" i="15"/>
  <c r="W84" i="15" s="1"/>
  <c r="W85" i="15"/>
  <c r="AV103" i="15"/>
  <c r="AV104" i="15"/>
  <c r="AV102" i="15" s="1"/>
  <c r="W103" i="15"/>
  <c r="W104" i="15"/>
  <c r="AZ104" i="15"/>
  <c r="AZ103" i="15"/>
  <c r="BE104" i="15"/>
  <c r="BE102" i="15" s="1"/>
  <c r="BE103" i="15"/>
  <c r="BF103" i="15"/>
  <c r="BF104" i="15"/>
  <c r="BF102" i="15" s="1"/>
  <c r="AR103" i="15"/>
  <c r="AR104" i="15"/>
  <c r="AC104" i="15"/>
  <c r="AC103" i="15"/>
  <c r="AC102" i="15" s="1"/>
  <c r="AH100" i="15"/>
  <c r="AH101" i="15"/>
  <c r="T100" i="15"/>
  <c r="T101" i="15"/>
  <c r="AM100" i="15"/>
  <c r="AM99" i="15" s="1"/>
  <c r="AM101" i="15"/>
  <c r="BF100" i="15"/>
  <c r="BF101" i="15"/>
  <c r="BJ100" i="15"/>
  <c r="BJ99" i="15" s="1"/>
  <c r="BJ101" i="15"/>
  <c r="AH109" i="15"/>
  <c r="AH110" i="15"/>
  <c r="T109" i="15"/>
  <c r="T110" i="15"/>
  <c r="AP109" i="15"/>
  <c r="AP110" i="15"/>
  <c r="AT109" i="15"/>
  <c r="AT108" i="15" s="1"/>
  <c r="AT110" i="15"/>
  <c r="R97" i="15"/>
  <c r="R98" i="15"/>
  <c r="R96" i="15" s="1"/>
  <c r="V97" i="15"/>
  <c r="V98" i="15"/>
  <c r="Z98" i="15"/>
  <c r="Z97" i="15"/>
  <c r="Z96" i="15" s="1"/>
  <c r="AD97" i="15"/>
  <c r="AD96" i="15" s="1"/>
  <c r="AD98" i="15"/>
  <c r="P106" i="15"/>
  <c r="P107" i="15"/>
  <c r="T106" i="15"/>
  <c r="T105" i="15" s="1"/>
  <c r="T107" i="15"/>
  <c r="AE106" i="15"/>
  <c r="AE107" i="15"/>
  <c r="AQ106" i="15"/>
  <c r="AQ105" i="15" s="1"/>
  <c r="AQ107" i="15"/>
  <c r="AT106" i="15"/>
  <c r="AT107" i="15"/>
  <c r="AT105" i="15" s="1"/>
  <c r="P95" i="15"/>
  <c r="P94" i="15"/>
  <c r="AX94" i="15"/>
  <c r="AX95" i="15"/>
  <c r="T94" i="15"/>
  <c r="T95" i="15"/>
  <c r="BB94" i="15"/>
  <c r="BB95" i="15"/>
  <c r="BB93" i="15" s="1"/>
  <c r="BA95" i="15"/>
  <c r="BA94" i="15"/>
  <c r="AB94" i="15"/>
  <c r="AB95" i="15"/>
  <c r="BA82" i="15"/>
  <c r="BA81" i="15" s="1"/>
  <c r="BA83" i="15"/>
  <c r="AK82" i="15"/>
  <c r="AK83" i="15"/>
  <c r="AK81" i="15" s="1"/>
  <c r="U82" i="15"/>
  <c r="U83" i="15"/>
  <c r="AP83" i="15"/>
  <c r="AP82" i="15"/>
  <c r="BD82" i="15"/>
  <c r="BD83" i="15"/>
  <c r="AN82" i="15"/>
  <c r="AN83" i="15"/>
  <c r="X82" i="15"/>
  <c r="X81" i="15" s="1"/>
  <c r="X83" i="15"/>
  <c r="AX82" i="15"/>
  <c r="AX83" i="15"/>
  <c r="Z82" i="15"/>
  <c r="Z83" i="15"/>
  <c r="AY82" i="15"/>
  <c r="AY83" i="15"/>
  <c r="AI82" i="15"/>
  <c r="AI81" i="15" s="1"/>
  <c r="AI83" i="15"/>
  <c r="S82" i="15"/>
  <c r="S83" i="15"/>
  <c r="AL88" i="15"/>
  <c r="AL87" i="15" s="1"/>
  <c r="AL89" i="15"/>
  <c r="BE88" i="15"/>
  <c r="BE89" i="15"/>
  <c r="AO89" i="15"/>
  <c r="AO87" i="15" s="1"/>
  <c r="AO88" i="15"/>
  <c r="Y89" i="15"/>
  <c r="Y88" i="15"/>
  <c r="BB89" i="15"/>
  <c r="BB88" i="15"/>
  <c r="Z88" i="15"/>
  <c r="Z89" i="15"/>
  <c r="Z87" i="15" s="1"/>
  <c r="AZ89" i="15"/>
  <c r="AZ88" i="15"/>
  <c r="AJ89" i="15"/>
  <c r="AJ88" i="15"/>
  <c r="AJ87" i="15" s="1"/>
  <c r="T89" i="15"/>
  <c r="T88" i="15"/>
  <c r="AY88" i="15"/>
  <c r="AY89" i="15"/>
  <c r="AI88" i="15"/>
  <c r="AI87" i="15" s="1"/>
  <c r="AI89" i="15"/>
  <c r="S88" i="15"/>
  <c r="S89" i="15"/>
  <c r="AT85" i="15"/>
  <c r="AT84" i="15" s="1"/>
  <c r="AT86" i="15"/>
  <c r="BI85" i="15"/>
  <c r="BI86" i="15"/>
  <c r="BI84" i="15" s="1"/>
  <c r="AS85" i="15"/>
  <c r="AS84" i="15" s="1"/>
  <c r="AS86" i="15"/>
  <c r="AC85" i="15"/>
  <c r="AC86" i="15"/>
  <c r="BF86" i="15"/>
  <c r="BF84" i="15" s="1"/>
  <c r="BF85" i="15"/>
  <c r="V85" i="15"/>
  <c r="V86" i="15"/>
  <c r="AV86" i="15"/>
  <c r="AV84" i="15" s="1"/>
  <c r="AV85" i="15"/>
  <c r="AF86" i="15"/>
  <c r="AF85" i="15"/>
  <c r="P86" i="15"/>
  <c r="P84" i="15" s="1"/>
  <c r="P85" i="15"/>
  <c r="AY86" i="15"/>
  <c r="AY85" i="15"/>
  <c r="AI86" i="15"/>
  <c r="AI84" i="15" s="1"/>
  <c r="AI85" i="15"/>
  <c r="S86" i="15"/>
  <c r="S85" i="15"/>
  <c r="R103" i="15"/>
  <c r="R102" i="15" s="1"/>
  <c r="R104" i="15"/>
  <c r="AQ103" i="15"/>
  <c r="AQ104" i="15"/>
  <c r="AQ102" i="15" s="1"/>
  <c r="AK104" i="15"/>
  <c r="AK103" i="15"/>
  <c r="V103" i="15"/>
  <c r="V104" i="15"/>
  <c r="AY103" i="15"/>
  <c r="AY104" i="15"/>
  <c r="Q104" i="15"/>
  <c r="Q103" i="15"/>
  <c r="Q102" i="15" s="1"/>
  <c r="BD104" i="15"/>
  <c r="BD103" i="15"/>
  <c r="AE103" i="15"/>
  <c r="AE104" i="15"/>
  <c r="AE102" i="15" s="1"/>
  <c r="Y104" i="15"/>
  <c r="Y103" i="15"/>
  <c r="BH104" i="15"/>
  <c r="BH103" i="15"/>
  <c r="BH102" i="15" s="1"/>
  <c r="O103" i="15"/>
  <c r="O104" i="15"/>
  <c r="BI104" i="15"/>
  <c r="BI103" i="15"/>
  <c r="AF101" i="15"/>
  <c r="AF100" i="15"/>
  <c r="AX100" i="15"/>
  <c r="AX101" i="15"/>
  <c r="AX99" i="15" s="1"/>
  <c r="Y101" i="15"/>
  <c r="Y100" i="15"/>
  <c r="AJ100" i="15"/>
  <c r="AJ101" i="15"/>
  <c r="BB100" i="15"/>
  <c r="BB99" i="15" s="1"/>
  <c r="BB101" i="15"/>
  <c r="AC101" i="15"/>
  <c r="AC100" i="15"/>
  <c r="AC99" i="15" s="1"/>
  <c r="BD101" i="15"/>
  <c r="BD99" i="15" s="1"/>
  <c r="BD100" i="15"/>
  <c r="AE100" i="15"/>
  <c r="AE101" i="15"/>
  <c r="AG101" i="15"/>
  <c r="AG99" i="15" s="1"/>
  <c r="AG100" i="15"/>
  <c r="BH101" i="15"/>
  <c r="BH100" i="15"/>
  <c r="AI100" i="15"/>
  <c r="AI99" i="15" s="1"/>
  <c r="AI101" i="15"/>
  <c r="U101" i="15"/>
  <c r="U100" i="15"/>
  <c r="AF109" i="15"/>
  <c r="AF110" i="15"/>
  <c r="AX109" i="15"/>
  <c r="AX110" i="15"/>
  <c r="Q110" i="15"/>
  <c r="Q109" i="15"/>
  <c r="AJ109" i="15"/>
  <c r="AJ110" i="15"/>
  <c r="AJ108" i="15" s="1"/>
  <c r="BB109" i="15"/>
  <c r="BB110" i="15"/>
  <c r="Y110" i="15"/>
  <c r="Y109" i="15"/>
  <c r="Y108" i="15" s="1"/>
  <c r="AN109" i="15"/>
  <c r="AN110" i="15"/>
  <c r="BF109" i="15"/>
  <c r="BF110" i="15"/>
  <c r="BF108" i="15" s="1"/>
  <c r="AG110" i="15"/>
  <c r="AG109" i="15"/>
  <c r="AR110" i="15"/>
  <c r="AR109" i="15"/>
  <c r="BJ109" i="15"/>
  <c r="BJ110" i="15"/>
  <c r="AO110" i="15"/>
  <c r="AO109" i="15"/>
  <c r="AO108" i="15" s="1"/>
  <c r="AF97" i="15"/>
  <c r="AF98" i="15"/>
  <c r="AH97" i="15"/>
  <c r="AH98" i="15"/>
  <c r="AH96" i="15" s="1"/>
  <c r="AI98" i="15"/>
  <c r="AI96" i="15" s="1"/>
  <c r="AI97" i="15"/>
  <c r="AJ97" i="15"/>
  <c r="AJ98" i="15"/>
  <c r="AL97" i="15"/>
  <c r="AL98" i="15"/>
  <c r="AQ98" i="15"/>
  <c r="AQ97" i="15"/>
  <c r="AN97" i="15"/>
  <c r="AN98" i="15"/>
  <c r="AP98" i="15"/>
  <c r="AP97" i="15"/>
  <c r="AP96" i="15" s="1"/>
  <c r="BC98" i="15"/>
  <c r="BC97" i="15"/>
  <c r="AR98" i="15"/>
  <c r="AR97" i="15"/>
  <c r="AR96" i="15" s="1"/>
  <c r="AT97" i="15"/>
  <c r="AT96" i="15" s="1"/>
  <c r="AT98" i="15"/>
  <c r="W98" i="15"/>
  <c r="W97" i="15"/>
  <c r="AF106" i="15"/>
  <c r="AF105" i="15" s="1"/>
  <c r="AF107" i="15"/>
  <c r="AX107" i="15"/>
  <c r="AX106" i="15"/>
  <c r="AG107" i="15"/>
  <c r="AG105" i="15" s="1"/>
  <c r="AG106" i="15"/>
  <c r="AJ106" i="15"/>
  <c r="AJ107" i="15"/>
  <c r="BB106" i="15"/>
  <c r="BB105" i="15" s="1"/>
  <c r="BB107" i="15"/>
  <c r="AO107" i="15"/>
  <c r="AO106" i="15"/>
  <c r="AN107" i="15"/>
  <c r="AN106" i="15"/>
  <c r="BF106" i="15"/>
  <c r="BF107" i="15"/>
  <c r="Q107" i="15"/>
  <c r="Q105" i="15" s="1"/>
  <c r="Q106" i="15"/>
  <c r="AR106" i="15"/>
  <c r="AR107" i="15"/>
  <c r="BJ106" i="15"/>
  <c r="BJ105" i="15" s="1"/>
  <c r="BJ107" i="15"/>
  <c r="Y107" i="15"/>
  <c r="Y106" i="15"/>
  <c r="AF94" i="15"/>
  <c r="AF95" i="15"/>
  <c r="AG94" i="15"/>
  <c r="AG95" i="15"/>
  <c r="AG93" i="15" s="1"/>
  <c r="S95" i="15"/>
  <c r="S94" i="15"/>
  <c r="AJ94" i="15"/>
  <c r="AJ95" i="15"/>
  <c r="AJ93" i="15" s="1"/>
  <c r="AS94" i="15"/>
  <c r="AS93" i="15" s="1"/>
  <c r="AS95" i="15"/>
  <c r="W95" i="15"/>
  <c r="W94" i="15"/>
  <c r="W93" i="15" s="1"/>
  <c r="AN94" i="15"/>
  <c r="AN95" i="15"/>
  <c r="BE94" i="15"/>
  <c r="BE95" i="15"/>
  <c r="AA95" i="15"/>
  <c r="AA94" i="15"/>
  <c r="AR94" i="15"/>
  <c r="AR95" i="15"/>
  <c r="AR93" i="15" s="1"/>
  <c r="U94" i="15"/>
  <c r="U95" i="15"/>
  <c r="AE95" i="15"/>
  <c r="AE94" i="15"/>
  <c r="AE93" i="15" s="1"/>
  <c r="AO82" i="15"/>
  <c r="AO83" i="15"/>
  <c r="BB83" i="15"/>
  <c r="BB82" i="15"/>
  <c r="BB81" i="15" s="1"/>
  <c r="AR82" i="15"/>
  <c r="AR81" i="15" s="1"/>
  <c r="AR83" i="15"/>
  <c r="BF83" i="15"/>
  <c r="BF82" i="15"/>
  <c r="BF81" i="15" s="1"/>
  <c r="BC83" i="15"/>
  <c r="BC81" i="15" s="1"/>
  <c r="BC82" i="15"/>
  <c r="W82" i="15"/>
  <c r="W83" i="15"/>
  <c r="BI88" i="15"/>
  <c r="BI87" i="15" s="1"/>
  <c r="BI89" i="15"/>
  <c r="AC89" i="15"/>
  <c r="AC88" i="15"/>
  <c r="AH88" i="15"/>
  <c r="AH87" i="15" s="1"/>
  <c r="AH89" i="15"/>
  <c r="AN89" i="15"/>
  <c r="AN88" i="15"/>
  <c r="AN87" i="15" s="1"/>
  <c r="BC89" i="15"/>
  <c r="BC87" i="15" s="1"/>
  <c r="BC88" i="15"/>
  <c r="W88" i="15"/>
  <c r="W89" i="15"/>
  <c r="R85" i="15"/>
  <c r="R84" i="15" s="1"/>
  <c r="R86" i="15"/>
  <c r="AG85" i="15"/>
  <c r="AG86" i="15"/>
  <c r="AH85" i="15"/>
  <c r="AH84" i="15" s="1"/>
  <c r="AH86" i="15"/>
  <c r="T86" i="15"/>
  <c r="T85" i="15"/>
  <c r="U104" i="15"/>
  <c r="U103" i="15"/>
  <c r="AA103" i="15"/>
  <c r="AA104" i="15"/>
  <c r="AA102" i="15" s="1"/>
  <c r="AN103" i="15"/>
  <c r="AN104" i="15"/>
  <c r="AU103" i="15"/>
  <c r="AU104" i="15"/>
  <c r="AU102" i="15" s="1"/>
  <c r="BJ103" i="15"/>
  <c r="BJ104" i="15"/>
  <c r="P100" i="15"/>
  <c r="P101" i="15"/>
  <c r="AA100" i="15"/>
  <c r="AA99" i="15" s="1"/>
  <c r="AA101" i="15"/>
  <c r="AL100" i="15"/>
  <c r="AL101" i="15"/>
  <c r="AN100" i="15"/>
  <c r="AN99" i="15" s="1"/>
  <c r="AN101" i="15"/>
  <c r="Q101" i="15"/>
  <c r="Q100" i="15"/>
  <c r="P109" i="15"/>
  <c r="P110" i="15"/>
  <c r="AL110" i="15"/>
  <c r="AL109" i="15"/>
  <c r="AL108" i="15" s="1"/>
  <c r="X109" i="15"/>
  <c r="X110" i="15"/>
  <c r="AB110" i="15"/>
  <c r="AB109" i="15"/>
  <c r="P97" i="15"/>
  <c r="P98" i="15"/>
  <c r="T97" i="15"/>
  <c r="T98" i="15"/>
  <c r="T96" i="15" s="1"/>
  <c r="AU98" i="15"/>
  <c r="AU97" i="15"/>
  <c r="AY98" i="15"/>
  <c r="AY97" i="15"/>
  <c r="BG98" i="15"/>
  <c r="BG97" i="15"/>
  <c r="S106" i="15"/>
  <c r="S107" i="15"/>
  <c r="AL106" i="15"/>
  <c r="AL107" i="15"/>
  <c r="AP106" i="15"/>
  <c r="AP107" i="15"/>
  <c r="AP105" i="15" s="1"/>
  <c r="AB106" i="15"/>
  <c r="AB105" i="15" s="1"/>
  <c r="AB107" i="15"/>
  <c r="AY106" i="15"/>
  <c r="AY107" i="15"/>
  <c r="AO94" i="15"/>
  <c r="AO95" i="15"/>
  <c r="AW94" i="15"/>
  <c r="AW95" i="15"/>
  <c r="X95" i="15"/>
  <c r="X94" i="15"/>
  <c r="BF94" i="15"/>
  <c r="BF95" i="15"/>
  <c r="BI95" i="15"/>
  <c r="BI94" i="15"/>
  <c r="AG82" i="15"/>
  <c r="AG83" i="15"/>
  <c r="AG81" i="15" s="1"/>
  <c r="AJ82" i="15"/>
  <c r="AJ81" i="15" s="1"/>
  <c r="AJ83" i="15"/>
  <c r="AE82" i="15"/>
  <c r="AE83" i="15"/>
  <c r="AK89" i="15"/>
  <c r="AK87" i="15" s="1"/>
  <c r="AK88" i="15"/>
  <c r="AV89" i="15"/>
  <c r="AV88" i="15"/>
  <c r="AV87" i="15" s="1"/>
  <c r="AE88" i="15"/>
  <c r="AE87" i="15" s="1"/>
  <c r="AE89" i="15"/>
  <c r="AO85" i="15"/>
  <c r="AO86" i="15"/>
  <c r="AR86" i="15"/>
  <c r="AR85" i="15"/>
  <c r="O86" i="15"/>
  <c r="O85" i="15"/>
  <c r="AH103" i="15"/>
  <c r="AH102" i="15" s="1"/>
  <c r="AH104" i="15"/>
  <c r="AL103" i="15"/>
  <c r="AL104" i="15"/>
  <c r="BC103" i="15"/>
  <c r="BC102" i="15" s="1"/>
  <c r="BC104" i="15"/>
  <c r="AM103" i="15"/>
  <c r="AM104" i="15"/>
  <c r="AM102" i="15" s="1"/>
  <c r="AV101" i="15"/>
  <c r="AV100" i="15"/>
  <c r="AO101" i="15"/>
  <c r="AO100" i="15"/>
  <c r="AO99" i="15" s="1"/>
  <c r="W100" i="15"/>
  <c r="W99" i="15" s="1"/>
  <c r="W101" i="15"/>
  <c r="AS101" i="15"/>
  <c r="AS100" i="15"/>
  <c r="AS99" i="15" s="1"/>
  <c r="BC100" i="15"/>
  <c r="BC101" i="15"/>
  <c r="AW101" i="15"/>
  <c r="AW100" i="15"/>
  <c r="AD100" i="15"/>
  <c r="AD99" i="15" s="1"/>
  <c r="AD101" i="15"/>
  <c r="BA101" i="15"/>
  <c r="BA100" i="15"/>
  <c r="BA99" i="15" s="1"/>
  <c r="AK101" i="15"/>
  <c r="AK99" i="15" s="1"/>
  <c r="AK100" i="15"/>
  <c r="AV109" i="15"/>
  <c r="AV110" i="15"/>
  <c r="AV108" i="15" s="1"/>
  <c r="W109" i="15"/>
  <c r="W110" i="15"/>
  <c r="AW110" i="15"/>
  <c r="AW109" i="15"/>
  <c r="AW108" i="15" s="1"/>
  <c r="AZ109" i="15"/>
  <c r="AZ110" i="15"/>
  <c r="AE109" i="15"/>
  <c r="AE110" i="15"/>
  <c r="AE108" i="15" s="1"/>
  <c r="BE110" i="15"/>
  <c r="BE108" i="15" s="1"/>
  <c r="BE109" i="15"/>
  <c r="BD110" i="15"/>
  <c r="BD109" i="15"/>
  <c r="BD108" i="15" s="1"/>
  <c r="AI109" i="15"/>
  <c r="AI110" i="15"/>
  <c r="U110" i="15"/>
  <c r="U109" i="15"/>
  <c r="U108" i="15" s="1"/>
  <c r="BH110" i="15"/>
  <c r="BH109" i="15"/>
  <c r="S109" i="15"/>
  <c r="S110" i="15"/>
  <c r="S108" i="15" s="1"/>
  <c r="AV97" i="15"/>
  <c r="AV96" i="15" s="1"/>
  <c r="AV98" i="15"/>
  <c r="AX97" i="15"/>
  <c r="AX98" i="15"/>
  <c r="AX96" i="15" s="1"/>
  <c r="AO97" i="15"/>
  <c r="AO96" i="15" s="1"/>
  <c r="AO98" i="15"/>
  <c r="AZ97" i="15"/>
  <c r="AZ98" i="15"/>
  <c r="AZ96" i="15" s="1"/>
  <c r="BB97" i="15"/>
  <c r="BB98" i="15"/>
  <c r="AS97" i="15"/>
  <c r="AS98" i="15"/>
  <c r="BD98" i="15"/>
  <c r="BD97" i="15"/>
  <c r="BF97" i="15"/>
  <c r="BF98" i="15"/>
  <c r="BF96" i="15" s="1"/>
  <c r="AG97" i="15"/>
  <c r="AG96" i="15" s="1"/>
  <c r="AG98" i="15"/>
  <c r="BH98" i="15"/>
  <c r="BH97" i="15"/>
  <c r="BH96" i="15" s="1"/>
  <c r="BJ97" i="15"/>
  <c r="BJ98" i="15"/>
  <c r="AK97" i="15"/>
  <c r="AK98" i="15"/>
  <c r="AV106" i="15"/>
  <c r="AV105" i="15" s="1"/>
  <c r="AV107" i="15"/>
  <c r="W106" i="15"/>
  <c r="W107" i="15"/>
  <c r="U107" i="15"/>
  <c r="U105" i="15" s="1"/>
  <c r="U106" i="15"/>
  <c r="AZ106" i="15"/>
  <c r="AZ107" i="15"/>
  <c r="AA106" i="15"/>
  <c r="AA105" i="15" s="1"/>
  <c r="AA107" i="15"/>
  <c r="AC107" i="15"/>
  <c r="AC106" i="15"/>
  <c r="BD107" i="15"/>
  <c r="BD105" i="15" s="1"/>
  <c r="BD106" i="15"/>
  <c r="AI106" i="15"/>
  <c r="AI107" i="15"/>
  <c r="AW107" i="15"/>
  <c r="AW105" i="15" s="1"/>
  <c r="AW106" i="15"/>
  <c r="BH107" i="15"/>
  <c r="BH106" i="15"/>
  <c r="O106" i="15"/>
  <c r="O105" i="15" s="1"/>
  <c r="O107" i="15"/>
  <c r="BE107" i="15"/>
  <c r="BE106" i="15"/>
  <c r="BE105" i="15" s="1"/>
  <c r="AV94" i="15"/>
  <c r="AV95" i="15"/>
  <c r="R94" i="15"/>
  <c r="R95" i="15"/>
  <c r="AM95" i="15"/>
  <c r="AM94" i="15"/>
  <c r="AZ94" i="15"/>
  <c r="AZ95" i="15"/>
  <c r="AZ93" i="15" s="1"/>
  <c r="V94" i="15"/>
  <c r="V95" i="15"/>
  <c r="AQ95" i="15"/>
  <c r="AQ94" i="15"/>
  <c r="AQ93" i="15" s="1"/>
  <c r="BD95" i="15"/>
  <c r="BD94" i="15"/>
  <c r="Z94" i="15"/>
  <c r="Z95" i="15"/>
  <c r="Z93" i="15" s="1"/>
  <c r="AY95" i="15"/>
  <c r="AY94" i="15"/>
  <c r="BH95" i="15"/>
  <c r="BH94" i="15"/>
  <c r="BH93" i="15" s="1"/>
  <c r="AD95" i="15"/>
  <c r="AD94" i="15"/>
  <c r="BC95" i="15"/>
  <c r="BC94" i="15"/>
  <c r="AR100" i="15"/>
  <c r="AR99" i="15" s="1"/>
  <c r="AR101" i="15"/>
  <c r="BG100" i="15"/>
  <c r="BG101" i="15"/>
  <c r="BG99" i="15" s="1"/>
  <c r="O109" i="15"/>
  <c r="O110" i="15"/>
  <c r="AA109" i="15"/>
  <c r="AA110" i="15"/>
  <c r="AA108" i="15" s="1"/>
  <c r="AM109" i="15"/>
  <c r="AM110" i="15"/>
  <c r="AM108" i="15" s="1"/>
  <c r="AY109" i="15"/>
  <c r="AY110" i="15"/>
  <c r="AY108" i="15" s="1"/>
  <c r="AM98" i="15"/>
  <c r="AM97" i="15"/>
  <c r="X97" i="15"/>
  <c r="X98" i="15"/>
  <c r="X96" i="15" s="1"/>
  <c r="AB97" i="15"/>
  <c r="AB96" i="15" s="1"/>
  <c r="AB98" i="15"/>
  <c r="AH106" i="15"/>
  <c r="AH107" i="15"/>
  <c r="AH105" i="15" s="1"/>
  <c r="X107" i="15"/>
  <c r="X106" i="15"/>
  <c r="X105" i="15" s="1"/>
  <c r="BJ94" i="15"/>
  <c r="BJ95" i="15"/>
  <c r="BJ93" i="15" s="1"/>
  <c r="G104" i="15"/>
  <c r="AW82" i="15"/>
  <c r="AW83" i="15"/>
  <c r="Q82" i="15"/>
  <c r="Q83" i="15"/>
  <c r="AD82" i="15"/>
  <c r="AD83" i="15"/>
  <c r="AZ82" i="15"/>
  <c r="AZ81" i="15" s="1"/>
  <c r="AZ83" i="15"/>
  <c r="T82" i="15"/>
  <c r="T81" i="15" s="1"/>
  <c r="T83" i="15"/>
  <c r="AT82" i="15"/>
  <c r="AT83" i="15"/>
  <c r="V82" i="15"/>
  <c r="V83" i="15"/>
  <c r="AU82" i="15"/>
  <c r="AU81" i="15" s="1"/>
  <c r="AU83" i="15"/>
  <c r="O83" i="15"/>
  <c r="O82" i="15"/>
  <c r="AD88" i="15"/>
  <c r="AD87" i="15" s="1"/>
  <c r="AD89" i="15"/>
  <c r="BA88" i="15"/>
  <c r="BA87" i="15" s="1"/>
  <c r="BA89" i="15"/>
  <c r="U89" i="15"/>
  <c r="U87" i="15" s="1"/>
  <c r="U88" i="15"/>
  <c r="AX88" i="15"/>
  <c r="AX87" i="15" s="1"/>
  <c r="AX89" i="15"/>
  <c r="R88" i="15"/>
  <c r="R87" i="15" s="1"/>
  <c r="R89" i="15"/>
  <c r="AF89" i="15"/>
  <c r="AF88" i="15"/>
  <c r="P89" i="15"/>
  <c r="P88" i="15"/>
  <c r="AU88" i="15"/>
  <c r="AU87" i="15" s="1"/>
  <c r="AU89" i="15"/>
  <c r="O88" i="15"/>
  <c r="O87" i="15" s="1"/>
  <c r="O89" i="15"/>
  <c r="AL85" i="15"/>
  <c r="AL84" i="15" s="1"/>
  <c r="AL86" i="15"/>
  <c r="BE85" i="15"/>
  <c r="BE86" i="15"/>
  <c r="Y85" i="15"/>
  <c r="Y84" i="15" s="1"/>
  <c r="Y86" i="15"/>
  <c r="AX85" i="15"/>
  <c r="AX84" i="15" s="1"/>
  <c r="AX86" i="15"/>
  <c r="BH85" i="15"/>
  <c r="BH84" i="15" s="1"/>
  <c r="BH86" i="15"/>
  <c r="AB86" i="15"/>
  <c r="AB85" i="15"/>
  <c r="Z85" i="15"/>
  <c r="Z84" i="15" s="1"/>
  <c r="Z86" i="15"/>
  <c r="AU86" i="15"/>
  <c r="AU84" i="15" s="1"/>
  <c r="AU85" i="15"/>
  <c r="AE86" i="15"/>
  <c r="AE84" i="15" s="1"/>
  <c r="AE85" i="15"/>
  <c r="P103" i="15"/>
  <c r="P104" i="15"/>
  <c r="AG104" i="15"/>
  <c r="AG103" i="15"/>
  <c r="T104" i="15"/>
  <c r="T102" i="15" s="1"/>
  <c r="T103" i="15"/>
  <c r="AO104" i="15"/>
  <c r="AO103" i="15"/>
  <c r="AS104" i="15"/>
  <c r="AS103" i="15"/>
  <c r="Z103" i="15"/>
  <c r="Z102" i="15" s="1"/>
  <c r="Z104" i="15"/>
  <c r="BA104" i="15"/>
  <c r="BA102" i="15" s="1"/>
  <c r="BA103" i="15"/>
  <c r="AD104" i="15"/>
  <c r="AD103" i="15"/>
  <c r="S100" i="15"/>
  <c r="S99" i="15" s="1"/>
  <c r="S101" i="15"/>
  <c r="AZ100" i="15"/>
  <c r="AZ99" i="15" s="1"/>
  <c r="AZ101" i="15"/>
  <c r="Z101" i="15"/>
  <c r="Z100" i="15"/>
  <c r="AC110" i="15"/>
  <c r="AC109" i="15"/>
  <c r="BI82" i="15"/>
  <c r="BI81" i="15" s="1"/>
  <c r="BI83" i="15"/>
  <c r="AS82" i="15"/>
  <c r="AS83" i="15"/>
  <c r="AC82" i="15"/>
  <c r="AC83" i="15"/>
  <c r="BJ83" i="15"/>
  <c r="BJ82" i="15"/>
  <c r="R82" i="15"/>
  <c r="R81" i="15" s="1"/>
  <c r="R83" i="15"/>
  <c r="AV82" i="15"/>
  <c r="AV81" i="15" s="1"/>
  <c r="AV83" i="15"/>
  <c r="AF82" i="15"/>
  <c r="AF81" i="15" s="1"/>
  <c r="AF83" i="15"/>
  <c r="P82" i="15"/>
  <c r="P81" i="15" s="1"/>
  <c r="P83" i="15"/>
  <c r="AL82" i="15"/>
  <c r="AL83" i="15"/>
  <c r="BG83" i="15"/>
  <c r="BG81" i="15" s="1"/>
  <c r="BG82" i="15"/>
  <c r="AQ82" i="15"/>
  <c r="AQ81" i="15" s="1"/>
  <c r="AQ83" i="15"/>
  <c r="AA82" i="15"/>
  <c r="AA81" i="15" s="1"/>
  <c r="AA83" i="15"/>
  <c r="BF89" i="15"/>
  <c r="BF88" i="15"/>
  <c r="V88" i="15"/>
  <c r="V87" i="15" s="1"/>
  <c r="V89" i="15"/>
  <c r="AW89" i="15"/>
  <c r="AW87" i="15" s="1"/>
  <c r="AW88" i="15"/>
  <c r="AG89" i="15"/>
  <c r="AG87" i="15" s="1"/>
  <c r="AG88" i="15"/>
  <c r="Q89" i="15"/>
  <c r="Q87" i="15" s="1"/>
  <c r="Q88" i="15"/>
  <c r="AP88" i="15"/>
  <c r="AP89" i="15"/>
  <c r="BH88" i="15"/>
  <c r="BH89" i="15"/>
  <c r="AR89" i="15"/>
  <c r="AR88" i="15"/>
  <c r="AB89" i="15"/>
  <c r="AB88" i="15"/>
  <c r="BG89" i="15"/>
  <c r="BG87" i="15" s="1"/>
  <c r="BG88" i="15"/>
  <c r="AQ88" i="15"/>
  <c r="AQ87" i="15" s="1"/>
  <c r="AQ89" i="15"/>
  <c r="AA88" i="15"/>
  <c r="AA87" i="15" s="1"/>
  <c r="AA89" i="15"/>
  <c r="BJ86" i="15"/>
  <c r="BJ84" i="15" s="1"/>
  <c r="BJ85" i="15"/>
  <c r="AD85" i="15"/>
  <c r="AD84" i="15" s="1"/>
  <c r="AD86" i="15"/>
  <c r="BA85" i="15"/>
  <c r="BA86" i="15"/>
  <c r="AK85" i="15"/>
  <c r="AK84" i="15" s="1"/>
  <c r="AK86" i="15"/>
  <c r="U85" i="15"/>
  <c r="U84" i="15" s="1"/>
  <c r="U86" i="15"/>
  <c r="AP85" i="15"/>
  <c r="AP84" i="15" s="1"/>
  <c r="AP86" i="15"/>
  <c r="BD85" i="15"/>
  <c r="BD84" i="15" s="1"/>
  <c r="BD86" i="15"/>
  <c r="AN86" i="15"/>
  <c r="AN84" i="15" s="1"/>
  <c r="AN85" i="15"/>
  <c r="X86" i="15"/>
  <c r="X84" i="15" s="1"/>
  <c r="X85" i="15"/>
  <c r="BG86" i="15"/>
  <c r="BG85" i="15"/>
  <c r="AQ86" i="15"/>
  <c r="AQ84" i="15" s="1"/>
  <c r="AQ85" i="15"/>
  <c r="AA86" i="15"/>
  <c r="AA84" i="15" s="1"/>
  <c r="AA85" i="15"/>
  <c r="AF103" i="15"/>
  <c r="AF104" i="15"/>
  <c r="AX103" i="15"/>
  <c r="AX102" i="15" s="1"/>
  <c r="AX104" i="15"/>
  <c r="S103" i="15"/>
  <c r="S104" i="15"/>
  <c r="AJ104" i="15"/>
  <c r="AJ102" i="15" s="1"/>
  <c r="AJ103" i="15"/>
  <c r="BB103" i="15"/>
  <c r="BB104" i="15"/>
  <c r="AI103" i="15"/>
  <c r="AI104" i="15"/>
  <c r="X103" i="15"/>
  <c r="X104" i="15"/>
  <c r="AP103" i="15"/>
  <c r="AP102" i="15" s="1"/>
  <c r="AP104" i="15"/>
  <c r="AW104" i="15"/>
  <c r="AW103" i="15"/>
  <c r="AB103" i="15"/>
  <c r="AB104" i="15"/>
  <c r="AT103" i="15"/>
  <c r="AT102" i="15" s="1"/>
  <c r="AT104" i="15"/>
  <c r="BG103" i="15"/>
  <c r="BG102" i="15" s="1"/>
  <c r="BG104" i="15"/>
  <c r="R100" i="15"/>
  <c r="R101" i="15"/>
  <c r="AQ100" i="15"/>
  <c r="AQ99" i="15" s="1"/>
  <c r="AQ101" i="15"/>
  <c r="BI101" i="15"/>
  <c r="BI100" i="15"/>
  <c r="V100" i="15"/>
  <c r="V99" i="15" s="1"/>
  <c r="V101" i="15"/>
  <c r="AY100" i="15"/>
  <c r="AY99" i="15" s="1"/>
  <c r="AY101" i="15"/>
  <c r="X100" i="15"/>
  <c r="X99" i="15" s="1"/>
  <c r="X101" i="15"/>
  <c r="AP101" i="15"/>
  <c r="AP100" i="15"/>
  <c r="AU100" i="15"/>
  <c r="AU99" i="15" s="1"/>
  <c r="AU101" i="15"/>
  <c r="AB100" i="15"/>
  <c r="AB99" i="15" s="1"/>
  <c r="AB101" i="15"/>
  <c r="AT100" i="15"/>
  <c r="AT99" i="15" s="1"/>
  <c r="AT101" i="15"/>
  <c r="O100" i="15"/>
  <c r="O99" i="15" s="1"/>
  <c r="O101" i="15"/>
  <c r="BE101" i="15"/>
  <c r="BE100" i="15"/>
  <c r="R109" i="15"/>
  <c r="R108" i="15" s="1"/>
  <c r="R110" i="15"/>
  <c r="AU109" i="15"/>
  <c r="AU110" i="15"/>
  <c r="AK110" i="15"/>
  <c r="AK109" i="15"/>
  <c r="V109" i="15"/>
  <c r="V108" i="15" s="1"/>
  <c r="V110" i="15"/>
  <c r="BC109" i="15"/>
  <c r="BC108" i="15" s="1"/>
  <c r="BC110" i="15"/>
  <c r="AS110" i="15"/>
  <c r="AS109" i="15"/>
  <c r="Z109" i="15"/>
  <c r="Z108" i="15" s="1"/>
  <c r="Z110" i="15"/>
  <c r="BG109" i="15"/>
  <c r="BG108" i="15" s="1"/>
  <c r="BG110" i="15"/>
  <c r="BA110" i="15"/>
  <c r="BA108" i="15" s="1"/>
  <c r="BA109" i="15"/>
  <c r="AD109" i="15"/>
  <c r="AD108" i="15" s="1"/>
  <c r="AD110" i="15"/>
  <c r="AQ109" i="15"/>
  <c r="AQ110" i="15"/>
  <c r="BI110" i="15"/>
  <c r="BI108" i="15" s="1"/>
  <c r="BI109" i="15"/>
  <c r="Q97" i="15"/>
  <c r="Q96" i="15" s="1"/>
  <c r="Q98" i="15"/>
  <c r="O98" i="15"/>
  <c r="O97" i="15"/>
  <c r="BE98" i="15"/>
  <c r="BE97" i="15"/>
  <c r="Y97" i="15"/>
  <c r="Y96" i="15" s="1"/>
  <c r="Y98" i="15"/>
  <c r="S98" i="15"/>
  <c r="S96" i="15" s="1"/>
  <c r="S97" i="15"/>
  <c r="BI97" i="15"/>
  <c r="BI98" i="15"/>
  <c r="AC97" i="15"/>
  <c r="AC96" i="15" s="1"/>
  <c r="AC98" i="15"/>
  <c r="AA98" i="15"/>
  <c r="AA96" i="15" s="1"/>
  <c r="AA97" i="15"/>
  <c r="AW97" i="15"/>
  <c r="AW96" i="15" s="1"/>
  <c r="AW98" i="15"/>
  <c r="U97" i="15"/>
  <c r="U98" i="15"/>
  <c r="AE98" i="15"/>
  <c r="AE97" i="15"/>
  <c r="BA97" i="15"/>
  <c r="BA98" i="15"/>
  <c r="R107" i="15"/>
  <c r="R105" i="15" s="1"/>
  <c r="R106" i="15"/>
  <c r="AU106" i="15"/>
  <c r="AU105" i="15" s="1"/>
  <c r="AU107" i="15"/>
  <c r="BA107" i="15"/>
  <c r="BA106" i="15"/>
  <c r="V106" i="15"/>
  <c r="V107" i="15"/>
  <c r="BC106" i="15"/>
  <c r="BC107" i="15"/>
  <c r="BI107" i="15"/>
  <c r="BI106" i="15"/>
  <c r="Z106" i="15"/>
  <c r="Z107" i="15"/>
  <c r="BG106" i="15"/>
  <c r="BG107" i="15"/>
  <c r="AK107" i="15"/>
  <c r="AK105" i="15" s="1"/>
  <c r="AK106" i="15"/>
  <c r="AD106" i="15"/>
  <c r="AD107" i="15"/>
  <c r="AM106" i="15"/>
  <c r="AM105" i="15" s="1"/>
  <c r="AM107" i="15"/>
  <c r="AS107" i="15"/>
  <c r="AS105" i="15" s="1"/>
  <c r="AS106" i="15"/>
  <c r="Q94" i="15"/>
  <c r="Q93" i="15" s="1"/>
  <c r="Q95" i="15"/>
  <c r="AH94" i="15"/>
  <c r="AH93" i="15" s="1"/>
  <c r="AH95" i="15"/>
  <c r="AI95" i="15"/>
  <c r="AI94" i="15"/>
  <c r="Y94" i="15"/>
  <c r="Y93" i="15" s="1"/>
  <c r="Y95" i="15"/>
  <c r="AL94" i="15"/>
  <c r="AL95" i="15"/>
  <c r="AU95" i="15"/>
  <c r="AU94" i="15"/>
  <c r="AC94" i="15"/>
  <c r="AC93" i="15" s="1"/>
  <c r="AC95" i="15"/>
  <c r="AP94" i="15"/>
  <c r="AP93" i="15" s="1"/>
  <c r="AP95" i="15"/>
  <c r="BG95" i="15"/>
  <c r="BG93" i="15" s="1"/>
  <c r="BG94" i="15"/>
  <c r="AK94" i="15"/>
  <c r="AK95" i="15"/>
  <c r="AT95" i="15"/>
  <c r="AT94" i="15"/>
  <c r="O95" i="15"/>
  <c r="O94" i="15"/>
  <c r="Q62" i="15"/>
  <c r="P91" i="15"/>
  <c r="P92" i="15"/>
  <c r="AO79" i="15"/>
  <c r="AO80" i="15"/>
  <c r="AP80" i="15"/>
  <c r="AP79" i="15"/>
  <c r="AP78" i="15" s="1"/>
  <c r="AN79" i="15"/>
  <c r="AN80" i="15"/>
  <c r="X79" i="15"/>
  <c r="X80" i="15"/>
  <c r="BF79" i="15"/>
  <c r="BF80" i="15"/>
  <c r="AD80" i="15"/>
  <c r="AD79" i="15"/>
  <c r="AD78" i="15" s="1"/>
  <c r="BC79" i="15"/>
  <c r="BC80" i="15"/>
  <c r="AM79" i="15"/>
  <c r="AM80" i="15"/>
  <c r="AM78" i="15" s="1"/>
  <c r="AW77" i="15"/>
  <c r="AW76" i="15"/>
  <c r="AG76" i="15"/>
  <c r="AG77" i="15"/>
  <c r="AG75" i="15" s="1"/>
  <c r="Q77" i="15"/>
  <c r="Q76" i="15"/>
  <c r="V76" i="15"/>
  <c r="V77" i="15"/>
  <c r="V75" i="15" s="1"/>
  <c r="AV77" i="15"/>
  <c r="AV76" i="15"/>
  <c r="AF77" i="15"/>
  <c r="AF76" i="15"/>
  <c r="AF75" i="15" s="1"/>
  <c r="P77" i="15"/>
  <c r="P76" i="15"/>
  <c r="AP76" i="15"/>
  <c r="AP77" i="15"/>
  <c r="AP75" i="15" s="1"/>
  <c r="BG77" i="15"/>
  <c r="BG76" i="15"/>
  <c r="AQ76" i="15"/>
  <c r="AQ77" i="15"/>
  <c r="AA77" i="15"/>
  <c r="AA76" i="15"/>
  <c r="BA80" i="15"/>
  <c r="BA79" i="15"/>
  <c r="AK79" i="15"/>
  <c r="AK80" i="15"/>
  <c r="U79" i="15"/>
  <c r="U80" i="15"/>
  <c r="AH80" i="15"/>
  <c r="AH79" i="15"/>
  <c r="AZ79" i="15"/>
  <c r="AZ80" i="15"/>
  <c r="AZ78" i="15" s="1"/>
  <c r="AJ79" i="15"/>
  <c r="AJ80" i="15"/>
  <c r="T79" i="15"/>
  <c r="T80" i="15"/>
  <c r="T78" i="15" s="1"/>
  <c r="AX80" i="15"/>
  <c r="AX79" i="15"/>
  <c r="Z80" i="15"/>
  <c r="Z79" i="15"/>
  <c r="Z78" i="15" s="1"/>
  <c r="AY79" i="15"/>
  <c r="AY80" i="15"/>
  <c r="AI80" i="15"/>
  <c r="AI79" i="15"/>
  <c r="S80" i="15"/>
  <c r="S79" i="15"/>
  <c r="BI77" i="15"/>
  <c r="BI76" i="15"/>
  <c r="AS76" i="15"/>
  <c r="AS77" i="15"/>
  <c r="AC77" i="15"/>
  <c r="AC76" i="15"/>
  <c r="BF76" i="15"/>
  <c r="BF77" i="15"/>
  <c r="BH77" i="15"/>
  <c r="BH76" i="15"/>
  <c r="AR77" i="15"/>
  <c r="AR76" i="15"/>
  <c r="AB77" i="15"/>
  <c r="AB76" i="15"/>
  <c r="BJ76" i="15"/>
  <c r="BJ77" i="15"/>
  <c r="AH76" i="15"/>
  <c r="AH77" i="15"/>
  <c r="BC76" i="15"/>
  <c r="BC77" i="15"/>
  <c r="AM77" i="15"/>
  <c r="AM76" i="15"/>
  <c r="W76" i="15"/>
  <c r="W77" i="15"/>
  <c r="Y79" i="15"/>
  <c r="Y80" i="15"/>
  <c r="AW79" i="15"/>
  <c r="AW80" i="15"/>
  <c r="AG79" i="15"/>
  <c r="AG80" i="15"/>
  <c r="Q79" i="15"/>
  <c r="Q80" i="15"/>
  <c r="V80" i="15"/>
  <c r="V79" i="15"/>
  <c r="AV79" i="15"/>
  <c r="AV80" i="15"/>
  <c r="AF79" i="15"/>
  <c r="AF80" i="15"/>
  <c r="P79" i="15"/>
  <c r="P80" i="15"/>
  <c r="AT80" i="15"/>
  <c r="AT79" i="15"/>
  <c r="R80" i="15"/>
  <c r="R79" i="15"/>
  <c r="AU80" i="15"/>
  <c r="AU79" i="15"/>
  <c r="AE80" i="15"/>
  <c r="AE79" i="15"/>
  <c r="O80" i="15"/>
  <c r="O79" i="15"/>
  <c r="BE76" i="15"/>
  <c r="BE77" i="15"/>
  <c r="AO77" i="15"/>
  <c r="AO76" i="15"/>
  <c r="Y77" i="15"/>
  <c r="Y76" i="15"/>
  <c r="AX76" i="15"/>
  <c r="AX77" i="15"/>
  <c r="BD77" i="15"/>
  <c r="BD76" i="15"/>
  <c r="AN77" i="15"/>
  <c r="AN76" i="15"/>
  <c r="X77" i="15"/>
  <c r="X76" i="15"/>
  <c r="BB76" i="15"/>
  <c r="BB77" i="15"/>
  <c r="AD76" i="15"/>
  <c r="AD77" i="15"/>
  <c r="AY77" i="15"/>
  <c r="AY76" i="15"/>
  <c r="AI76" i="15"/>
  <c r="AI77" i="15"/>
  <c r="S76" i="15"/>
  <c r="S77" i="15"/>
  <c r="BE80" i="15"/>
  <c r="BE79" i="15"/>
  <c r="BD80" i="15"/>
  <c r="BD79" i="15"/>
  <c r="W79" i="15"/>
  <c r="W80" i="15"/>
  <c r="BI79" i="15"/>
  <c r="BI80" i="15"/>
  <c r="AS79" i="15"/>
  <c r="AS80" i="15"/>
  <c r="AC79" i="15"/>
  <c r="AC80" i="15"/>
  <c r="BB79" i="15"/>
  <c r="BB80" i="15"/>
  <c r="BH80" i="15"/>
  <c r="BH79" i="15"/>
  <c r="AR79" i="15"/>
  <c r="AR80" i="15"/>
  <c r="AB79" i="15"/>
  <c r="AB80" i="15"/>
  <c r="BJ79" i="15"/>
  <c r="BJ80" i="15"/>
  <c r="AL80" i="15"/>
  <c r="AL79" i="15"/>
  <c r="BG79" i="15"/>
  <c r="BG80" i="15"/>
  <c r="AQ80" i="15"/>
  <c r="AQ79" i="15"/>
  <c r="AA79" i="15"/>
  <c r="AA80" i="15"/>
  <c r="Z76" i="15"/>
  <c r="Z77" i="15"/>
  <c r="BA77" i="15"/>
  <c r="BA76" i="15"/>
  <c r="AK77" i="15"/>
  <c r="AK76" i="15"/>
  <c r="U77" i="15"/>
  <c r="U76" i="15"/>
  <c r="AL76" i="15"/>
  <c r="AL77" i="15"/>
  <c r="AZ77" i="15"/>
  <c r="AZ76" i="15"/>
  <c r="AJ77" i="15"/>
  <c r="AJ76" i="15"/>
  <c r="T77" i="15"/>
  <c r="T76" i="15"/>
  <c r="AT76" i="15"/>
  <c r="AT77" i="15"/>
  <c r="R76" i="15"/>
  <c r="R77" i="15"/>
  <c r="AU76" i="15"/>
  <c r="AU77" i="15"/>
  <c r="AE76" i="15"/>
  <c r="AE77" i="15"/>
  <c r="O76" i="15"/>
  <c r="O77" i="15"/>
  <c r="I104" i="15"/>
  <c r="Q69" i="15"/>
  <c r="P69" i="15"/>
  <c r="O69" i="15"/>
  <c r="W71" i="11"/>
  <c r="K47" i="11"/>
  <c r="C47" i="11"/>
  <c r="G47" i="11"/>
  <c r="E47" i="11"/>
  <c r="J47" i="11"/>
  <c r="L47" i="11"/>
  <c r="F47" i="11"/>
  <c r="H47" i="11"/>
  <c r="N47" i="11"/>
  <c r="I47" i="11"/>
  <c r="D47" i="11"/>
  <c r="O47" i="11"/>
  <c r="L46" i="11"/>
  <c r="G46" i="11"/>
  <c r="O46" i="11"/>
  <c r="H46" i="11"/>
  <c r="I46" i="11"/>
  <c r="C46" i="11"/>
  <c r="E46" i="11"/>
  <c r="S46" i="11"/>
  <c r="P46" i="11"/>
  <c r="Q46" i="11"/>
  <c r="R46" i="11"/>
  <c r="F33" i="19"/>
  <c r="F39" i="19" s="1"/>
  <c r="F46" i="19" s="1"/>
  <c r="H35" i="19"/>
  <c r="H41" i="19" s="1"/>
  <c r="H48" i="19" s="1"/>
  <c r="F36" i="19"/>
  <c r="F42" i="19" s="1"/>
  <c r="F49" i="19" s="1"/>
  <c r="G33" i="19"/>
  <c r="G39" i="19" s="1"/>
  <c r="G46" i="19" s="1"/>
  <c r="G34" i="19"/>
  <c r="G40" i="19" s="1"/>
  <c r="G47" i="19" s="1"/>
  <c r="G36" i="19"/>
  <c r="G42" i="19" s="1"/>
  <c r="G49" i="19" s="1"/>
  <c r="Q71" i="11"/>
  <c r="P71" i="11"/>
  <c r="K46" i="11"/>
  <c r="D46" i="11"/>
  <c r="M46" i="11"/>
  <c r="J46" i="11"/>
  <c r="F46" i="11"/>
  <c r="I80" i="15"/>
  <c r="I78" i="15" s="1"/>
  <c r="L79" i="15"/>
  <c r="L78" i="15" s="1"/>
  <c r="K91" i="15"/>
  <c r="K90" i="15" s="1"/>
  <c r="J103" i="15"/>
  <c r="J102" i="15" s="1"/>
  <c r="G88" i="15"/>
  <c r="G87" i="15" s="1"/>
  <c r="D80" i="15"/>
  <c r="D78" i="15" s="1"/>
  <c r="Z71" i="11"/>
  <c r="S71" i="11"/>
  <c r="X71" i="11"/>
  <c r="Y71" i="11"/>
  <c r="AA71" i="11"/>
  <c r="U71" i="11"/>
  <c r="J30" i="11"/>
  <c r="C20" i="11" s="1"/>
  <c r="T71" i="11"/>
  <c r="V71" i="11"/>
  <c r="J29" i="11"/>
  <c r="C9" i="11" s="1"/>
  <c r="R71" i="11"/>
  <c r="O71" i="11"/>
  <c r="Q70" i="11"/>
  <c r="J91" i="15"/>
  <c r="J90" i="15" s="1"/>
  <c r="G80" i="15"/>
  <c r="G78" i="15" s="1"/>
  <c r="H80" i="15"/>
  <c r="H78" i="15" s="1"/>
  <c r="F104" i="15"/>
  <c r="F102" i="15" s="1"/>
  <c r="F93" i="15"/>
  <c r="B47" i="22"/>
  <c r="C80" i="22"/>
  <c r="C86" i="22" s="1"/>
  <c r="D71" i="22"/>
  <c r="C39" i="22"/>
  <c r="M79" i="15"/>
  <c r="M78" i="15" s="1"/>
  <c r="F101" i="15"/>
  <c r="F99" i="15" s="1"/>
  <c r="E88" i="15"/>
  <c r="E87" i="15" s="1"/>
  <c r="H92" i="15"/>
  <c r="H90" i="15" s="1"/>
  <c r="L91" i="15"/>
  <c r="L90" i="15" s="1"/>
  <c r="H96" i="15"/>
  <c r="E103" i="15"/>
  <c r="E102" i="15" s="1"/>
  <c r="C64" i="18"/>
  <c r="C70" i="18" s="1"/>
  <c r="D55" i="18"/>
  <c r="C38" i="18"/>
  <c r="C33" i="18" s="1"/>
  <c r="B45" i="18"/>
  <c r="B51" i="18" s="1"/>
  <c r="E65" i="16"/>
  <c r="C65" i="16"/>
  <c r="D65" i="16"/>
  <c r="G56" i="16"/>
  <c r="F65" i="16"/>
  <c r="C48" i="16"/>
  <c r="B71" i="16"/>
  <c r="G60" i="16"/>
  <c r="D35" i="16"/>
  <c r="D14" i="11"/>
  <c r="D25" i="11" s="1"/>
  <c r="K3" i="11" s="1"/>
  <c r="E3" i="11"/>
  <c r="D55" i="17"/>
  <c r="C65" i="17"/>
  <c r="C71" i="17" s="1"/>
  <c r="C37" i="17"/>
  <c r="G59" i="17"/>
  <c r="K80" i="15"/>
  <c r="K78" i="15" s="1"/>
  <c r="G91" i="15"/>
  <c r="G90" i="15" s="1"/>
  <c r="E93" i="15"/>
  <c r="E79" i="15"/>
  <c r="E78" i="15" s="1"/>
  <c r="B50" i="19"/>
  <c r="B51" i="19" s="1"/>
  <c r="C50" i="19"/>
  <c r="H43" i="19"/>
  <c r="B43" i="19"/>
  <c r="D43" i="19"/>
  <c r="E50" i="19"/>
  <c r="H46" i="19"/>
  <c r="H50" i="19" s="1"/>
  <c r="D50" i="19"/>
  <c r="E43" i="19"/>
  <c r="C43" i="19"/>
  <c r="H42" i="13"/>
  <c r="E106" i="15"/>
  <c r="E105" i="15" s="1"/>
  <c r="I88" i="15"/>
  <c r="I87" i="15" s="1"/>
  <c r="F105" i="15"/>
  <c r="H87" i="15"/>
  <c r="J101" i="15"/>
  <c r="J99" i="15" s="1"/>
  <c r="F87" i="15"/>
  <c r="C96" i="15"/>
  <c r="C122" i="15" s="1"/>
  <c r="I90" i="15"/>
  <c r="C76" i="15"/>
  <c r="C75" i="15" s="1"/>
  <c r="C115" i="15" s="1"/>
  <c r="H93" i="15"/>
  <c r="C69" i="15"/>
  <c r="C70" i="15" s="1"/>
  <c r="I102" i="15"/>
  <c r="C92" i="15"/>
  <c r="C90" i="15" s="1"/>
  <c r="C120" i="15" s="1"/>
  <c r="C84" i="15"/>
  <c r="N78" i="15"/>
  <c r="C104" i="15"/>
  <c r="C102" i="15" s="1"/>
  <c r="C124" i="15" s="1"/>
  <c r="J105" i="15"/>
  <c r="C80" i="15"/>
  <c r="C78" i="15" s="1"/>
  <c r="H105" i="15"/>
  <c r="K87" i="15"/>
  <c r="C105" i="15"/>
  <c r="C125" i="15" s="1"/>
  <c r="C99" i="15"/>
  <c r="C123" i="15" s="1"/>
  <c r="C87" i="15"/>
  <c r="C118" i="15" s="1"/>
  <c r="N90" i="15"/>
  <c r="E90" i="15"/>
  <c r="F90" i="15"/>
  <c r="G81" i="15"/>
  <c r="C93" i="15"/>
  <c r="C121" i="15" s="1"/>
  <c r="C108" i="15"/>
  <c r="M90" i="15"/>
  <c r="G102" i="15"/>
  <c r="D69" i="15"/>
  <c r="E69" i="15"/>
  <c r="I93" i="15"/>
  <c r="H84" i="15"/>
  <c r="G99" i="15"/>
  <c r="I105" i="15"/>
  <c r="I99" i="15"/>
  <c r="G93" i="15"/>
  <c r="K99" i="15"/>
  <c r="L108" i="15"/>
  <c r="K105" i="15"/>
  <c r="C81" i="15"/>
  <c r="C117" i="15" s="1"/>
  <c r="F78" i="15"/>
  <c r="J78" i="15"/>
  <c r="D86" i="15"/>
  <c r="D85" i="15"/>
  <c r="D100" i="15"/>
  <c r="D101" i="15"/>
  <c r="G109" i="15"/>
  <c r="G110" i="15"/>
  <c r="I97" i="15"/>
  <c r="I98" i="15"/>
  <c r="H82" i="15"/>
  <c r="H83" i="15"/>
  <c r="J95" i="15"/>
  <c r="J94" i="15"/>
  <c r="D89" i="15"/>
  <c r="D88" i="15"/>
  <c r="D82" i="15"/>
  <c r="D83" i="15"/>
  <c r="F98" i="15"/>
  <c r="F97" i="15"/>
  <c r="I86" i="15"/>
  <c r="I85" i="15"/>
  <c r="L89" i="15"/>
  <c r="L88" i="15"/>
  <c r="F69" i="15"/>
  <c r="E76" i="15"/>
  <c r="E77" i="15"/>
  <c r="G98" i="15"/>
  <c r="G97" i="15"/>
  <c r="D92" i="15"/>
  <c r="D91" i="15"/>
  <c r="H101" i="15"/>
  <c r="H100" i="15"/>
  <c r="E98" i="15"/>
  <c r="E97" i="15"/>
  <c r="J87" i="15"/>
  <c r="D110" i="15"/>
  <c r="D109" i="15"/>
  <c r="D106" i="15"/>
  <c r="D107" i="15"/>
  <c r="D104" i="15"/>
  <c r="D103" i="15"/>
  <c r="E86" i="15"/>
  <c r="E85" i="15"/>
  <c r="J110" i="15"/>
  <c r="J109" i="15"/>
  <c r="I110" i="15"/>
  <c r="I109" i="15"/>
  <c r="G85" i="15"/>
  <c r="G86" i="15"/>
  <c r="M109" i="15"/>
  <c r="M110" i="15"/>
  <c r="F83" i="15"/>
  <c r="F82" i="15"/>
  <c r="L106" i="15"/>
  <c r="L107" i="15"/>
  <c r="D77" i="15"/>
  <c r="D76" i="15"/>
  <c r="D98" i="15"/>
  <c r="D97" i="15"/>
  <c r="D94" i="15"/>
  <c r="D95" i="15"/>
  <c r="K110" i="15"/>
  <c r="K109" i="15"/>
  <c r="F86" i="15"/>
  <c r="F85" i="15"/>
  <c r="F110" i="15"/>
  <c r="F109" i="15"/>
  <c r="E109" i="15"/>
  <c r="E110" i="15"/>
  <c r="E99" i="15"/>
  <c r="E81" i="15"/>
  <c r="H102" i="15"/>
  <c r="G105" i="15"/>
  <c r="H108" i="15"/>
  <c r="L101" i="15"/>
  <c r="L100" i="15"/>
  <c r="K104" i="15"/>
  <c r="K103" i="15"/>
  <c r="R75" i="15" l="1"/>
  <c r="T75" i="15"/>
  <c r="AZ75" i="15"/>
  <c r="BA75" i="15"/>
  <c r="AA78" i="15"/>
  <c r="BJ78" i="15"/>
  <c r="AR78" i="15"/>
  <c r="BB78" i="15"/>
  <c r="W78" i="15"/>
  <c r="X75" i="15"/>
  <c r="BD75" i="15"/>
  <c r="R78" i="15"/>
  <c r="P78" i="15"/>
  <c r="AV78" i="15"/>
  <c r="BC75" i="15"/>
  <c r="AR75" i="15"/>
  <c r="AS75" i="15"/>
  <c r="AY78" i="15"/>
  <c r="AX78" i="15"/>
  <c r="AJ78" i="15"/>
  <c r="AH78" i="15"/>
  <c r="AA75" i="15"/>
  <c r="P75" i="15"/>
  <c r="AV75" i="15"/>
  <c r="BF78" i="15"/>
  <c r="O75" i="15"/>
  <c r="AU75" i="15"/>
  <c r="AT75" i="15"/>
  <c r="AK75" i="15"/>
  <c r="AQ78" i="15"/>
  <c r="AC78" i="15"/>
  <c r="S75" i="15"/>
  <c r="J98" i="25"/>
  <c r="J100" i="25" s="1"/>
  <c r="H35" i="13"/>
  <c r="I89" i="25"/>
  <c r="I91" i="25" s="1"/>
  <c r="H34" i="13"/>
  <c r="I86" i="25"/>
  <c r="I88" i="25" s="1"/>
  <c r="G50" i="19"/>
  <c r="K32" i="13"/>
  <c r="L80" i="25"/>
  <c r="L82" i="25" s="1"/>
  <c r="I32" i="19"/>
  <c r="C95" i="11"/>
  <c r="C94" i="11"/>
  <c r="K13" i="11"/>
  <c r="K18" i="11" s="1"/>
  <c r="K23" i="11" s="1"/>
  <c r="K28" i="11" s="1"/>
  <c r="K33" i="11" s="1"/>
  <c r="K38" i="11" s="1"/>
  <c r="K8" i="11"/>
  <c r="O108" i="15"/>
  <c r="AD93" i="15"/>
  <c r="AY93" i="15"/>
  <c r="BD93" i="15"/>
  <c r="V93" i="15"/>
  <c r="AM93" i="15"/>
  <c r="AV93" i="15"/>
  <c r="BJ96" i="15"/>
  <c r="BD96" i="15"/>
  <c r="BB96" i="15"/>
  <c r="BH108" i="15"/>
  <c r="AI108" i="15"/>
  <c r="AZ108" i="15"/>
  <c r="W108" i="15"/>
  <c r="BC99" i="15"/>
  <c r="AV99" i="15"/>
  <c r="AR84" i="15"/>
  <c r="BI93" i="15"/>
  <c r="X93" i="15"/>
  <c r="AO93" i="15"/>
  <c r="AL105" i="15"/>
  <c r="BG96" i="15"/>
  <c r="AU96" i="15"/>
  <c r="P96" i="15"/>
  <c r="X108" i="15"/>
  <c r="P108" i="15"/>
  <c r="BJ102" i="15"/>
  <c r="AN102" i="15"/>
  <c r="U102" i="15"/>
  <c r="AO81" i="15"/>
  <c r="U93" i="15"/>
  <c r="AA93" i="15"/>
  <c r="AN93" i="15"/>
  <c r="S93" i="15"/>
  <c r="AF93" i="15"/>
  <c r="AN105" i="15"/>
  <c r="BC96" i="15"/>
  <c r="AN96" i="15"/>
  <c r="AL96" i="15"/>
  <c r="AF96" i="15"/>
  <c r="BJ108" i="15"/>
  <c r="AG108" i="15"/>
  <c r="AN108" i="15"/>
  <c r="BB108" i="15"/>
  <c r="Q108" i="15"/>
  <c r="AF108" i="15"/>
  <c r="Y99" i="15"/>
  <c r="AF99" i="15"/>
  <c r="O102" i="15"/>
  <c r="Y102" i="15"/>
  <c r="BD102" i="15"/>
  <c r="AY102" i="15"/>
  <c r="AK102" i="15"/>
  <c r="T87" i="15"/>
  <c r="AZ87" i="15"/>
  <c r="BB87" i="15"/>
  <c r="Z81" i="15"/>
  <c r="BD81" i="15"/>
  <c r="U81" i="15"/>
  <c r="BA93" i="15"/>
  <c r="T93" i="15"/>
  <c r="P93" i="15"/>
  <c r="V96" i="15"/>
  <c r="T108" i="15"/>
  <c r="AH99" i="15"/>
  <c r="AR102" i="15"/>
  <c r="W102" i="15"/>
  <c r="BC84" i="15"/>
  <c r="BD87" i="15"/>
  <c r="Y81" i="15"/>
  <c r="BB75" i="15"/>
  <c r="AO75" i="15"/>
  <c r="O78" i="15"/>
  <c r="AU78" i="15"/>
  <c r="AG78" i="15"/>
  <c r="Y78" i="15"/>
  <c r="BH75" i="15"/>
  <c r="AC75" i="15"/>
  <c r="P90" i="15"/>
  <c r="AT93" i="15"/>
  <c r="AL93" i="15"/>
  <c r="AI93" i="15"/>
  <c r="Z105" i="15"/>
  <c r="BC105" i="15"/>
  <c r="BA105" i="15"/>
  <c r="AE96" i="15"/>
  <c r="BE96" i="15"/>
  <c r="AQ108" i="15"/>
  <c r="AK108" i="15"/>
  <c r="AP99" i="15"/>
  <c r="BI99" i="15"/>
  <c r="R99" i="15"/>
  <c r="AW102" i="15"/>
  <c r="X102" i="15"/>
  <c r="BB102" i="15"/>
  <c r="S102" i="15"/>
  <c r="AF102" i="15"/>
  <c r="BA84" i="15"/>
  <c r="AB87" i="15"/>
  <c r="BH87" i="15"/>
  <c r="BF87" i="15"/>
  <c r="AL81" i="15"/>
  <c r="AC81" i="15"/>
  <c r="Z99" i="15"/>
  <c r="AS102" i="15"/>
  <c r="P102" i="15"/>
  <c r="AB84" i="15"/>
  <c r="BE84" i="15"/>
  <c r="P87" i="15"/>
  <c r="AT81" i="15"/>
  <c r="Q81" i="15"/>
  <c r="AM96" i="15"/>
  <c r="O93" i="15"/>
  <c r="AK93" i="15"/>
  <c r="AU93" i="15"/>
  <c r="AD105" i="15"/>
  <c r="BG105" i="15"/>
  <c r="BI105" i="15"/>
  <c r="V105" i="15"/>
  <c r="BA96" i="15"/>
  <c r="U96" i="15"/>
  <c r="BI96" i="15"/>
  <c r="O96" i="15"/>
  <c r="AS108" i="15"/>
  <c r="AU108" i="15"/>
  <c r="BE99" i="15"/>
  <c r="AB102" i="15"/>
  <c r="AI102" i="15"/>
  <c r="BG84" i="15"/>
  <c r="AR87" i="15"/>
  <c r="AP87" i="15"/>
  <c r="BJ81" i="15"/>
  <c r="AS81" i="15"/>
  <c r="AC108" i="15"/>
  <c r="AD102" i="15"/>
  <c r="AO102" i="15"/>
  <c r="AG102" i="15"/>
  <c r="AF87" i="15"/>
  <c r="O81" i="15"/>
  <c r="V81" i="15"/>
  <c r="AD81" i="15"/>
  <c r="AW81" i="15"/>
  <c r="BC93" i="15"/>
  <c r="R93" i="15"/>
  <c r="BH105" i="15"/>
  <c r="AI105" i="15"/>
  <c r="AC105" i="15"/>
  <c r="AZ105" i="15"/>
  <c r="W105" i="15"/>
  <c r="AK96" i="15"/>
  <c r="AS96" i="15"/>
  <c r="AW99" i="15"/>
  <c r="AL102" i="15"/>
  <c r="O84" i="15"/>
  <c r="AO84" i="15"/>
  <c r="AE81" i="15"/>
  <c r="BF93" i="15"/>
  <c r="AW93" i="15"/>
  <c r="AY105" i="15"/>
  <c r="S105" i="15"/>
  <c r="AY96" i="15"/>
  <c r="AB108" i="15"/>
  <c r="Q99" i="15"/>
  <c r="AL99" i="15"/>
  <c r="P99" i="15"/>
  <c r="T84" i="15"/>
  <c r="AG84" i="15"/>
  <c r="W87" i="15"/>
  <c r="AC87" i="15"/>
  <c r="W81" i="15"/>
  <c r="BE93" i="15"/>
  <c r="Y105" i="15"/>
  <c r="AR105" i="15"/>
  <c r="BF105" i="15"/>
  <c r="AO105" i="15"/>
  <c r="AJ105" i="15"/>
  <c r="AX105" i="15"/>
  <c r="W96" i="15"/>
  <c r="AQ96" i="15"/>
  <c r="AJ96" i="15"/>
  <c r="AR108" i="15"/>
  <c r="AX108" i="15"/>
  <c r="U99" i="15"/>
  <c r="BH99" i="15"/>
  <c r="AE99" i="15"/>
  <c r="AJ99" i="15"/>
  <c r="BI102" i="15"/>
  <c r="V102" i="15"/>
  <c r="S84" i="15"/>
  <c r="AY84" i="15"/>
  <c r="AF84" i="15"/>
  <c r="V84" i="15"/>
  <c r="AC84" i="15"/>
  <c r="S87" i="15"/>
  <c r="AY87" i="15"/>
  <c r="Y87" i="15"/>
  <c r="BE87" i="15"/>
  <c r="S81" i="15"/>
  <c r="AY81" i="15"/>
  <c r="AX81" i="15"/>
  <c r="AN81" i="15"/>
  <c r="AP81" i="15"/>
  <c r="AB93" i="15"/>
  <c r="AX93" i="15"/>
  <c r="AE105" i="15"/>
  <c r="P105" i="15"/>
  <c r="P111" i="15" s="1"/>
  <c r="P112" i="15" s="1"/>
  <c r="AP108" i="15"/>
  <c r="AH108" i="15"/>
  <c r="BF99" i="15"/>
  <c r="T99" i="15"/>
  <c r="AZ102" i="15"/>
  <c r="AM84" i="15"/>
  <c r="AJ84" i="15"/>
  <c r="Q84" i="15"/>
  <c r="BB84" i="15"/>
  <c r="AT87" i="15"/>
  <c r="BE81" i="15"/>
  <c r="Q146" i="15"/>
  <c r="Q147" i="15"/>
  <c r="O146" i="15"/>
  <c r="O147" i="15"/>
  <c r="P146" i="15"/>
  <c r="P147" i="15"/>
  <c r="C72" i="15"/>
  <c r="C71" i="15"/>
  <c r="R62" i="15"/>
  <c r="Q92" i="15"/>
  <c r="Q91" i="15"/>
  <c r="Q90" i="15" s="1"/>
  <c r="O111" i="15"/>
  <c r="O112" i="15" s="1"/>
  <c r="AI78" i="15"/>
  <c r="U78" i="15"/>
  <c r="BA78" i="15"/>
  <c r="AQ75" i="15"/>
  <c r="X78" i="15"/>
  <c r="U75" i="15"/>
  <c r="AI75" i="15"/>
  <c r="BE75" i="15"/>
  <c r="AW78" i="15"/>
  <c r="BJ75" i="15"/>
  <c r="AE75" i="15"/>
  <c r="BG78" i="15"/>
  <c r="AS78" i="15"/>
  <c r="BE78" i="15"/>
  <c r="AD75" i="15"/>
  <c r="Y75" i="15"/>
  <c r="AE78" i="15"/>
  <c r="Q78" i="15"/>
  <c r="W75" i="15"/>
  <c r="BF75" i="15"/>
  <c r="AJ75" i="15"/>
  <c r="AL75" i="15"/>
  <c r="Z75" i="15"/>
  <c r="AL78" i="15"/>
  <c r="AB78" i="15"/>
  <c r="BH78" i="15"/>
  <c r="BI78" i="15"/>
  <c r="BD78" i="15"/>
  <c r="AY75" i="15"/>
  <c r="AN75" i="15"/>
  <c r="AX75" i="15"/>
  <c r="AT78" i="15"/>
  <c r="AF78" i="15"/>
  <c r="V78" i="15"/>
  <c r="AM75" i="15"/>
  <c r="AH75" i="15"/>
  <c r="AB75" i="15"/>
  <c r="BI75" i="15"/>
  <c r="S78" i="15"/>
  <c r="AK78" i="15"/>
  <c r="BG75" i="15"/>
  <c r="Q75" i="15"/>
  <c r="AW75" i="15"/>
  <c r="BC78" i="15"/>
  <c r="AN78" i="15"/>
  <c r="AO78" i="15"/>
  <c r="D70" i="15"/>
  <c r="C146" i="15"/>
  <c r="F50" i="19"/>
  <c r="F43" i="19"/>
  <c r="G43" i="19"/>
  <c r="E18" i="19"/>
  <c r="E20" i="19" s="1"/>
  <c r="H26" i="27"/>
  <c r="H28" i="27" s="1"/>
  <c r="F147" i="15"/>
  <c r="F146" i="15"/>
  <c r="D18" i="19"/>
  <c r="D20" i="19" s="1"/>
  <c r="G26" i="27"/>
  <c r="G28" i="27" s="1"/>
  <c r="E147" i="15"/>
  <c r="E146" i="15"/>
  <c r="C18" i="19"/>
  <c r="C20" i="19" s="1"/>
  <c r="F26" i="27"/>
  <c r="F28" i="27" s="1"/>
  <c r="D147" i="15"/>
  <c r="D146" i="15"/>
  <c r="E26" i="27"/>
  <c r="E28" i="27" s="1"/>
  <c r="C147" i="15"/>
  <c r="J31" i="11"/>
  <c r="C31" i="11" s="1"/>
  <c r="B65" i="22"/>
  <c r="B53" i="22"/>
  <c r="B59" i="22" s="1"/>
  <c r="C47" i="22"/>
  <c r="D80" i="22"/>
  <c r="D86" i="22" s="1"/>
  <c r="E71" i="22"/>
  <c r="D39" i="22"/>
  <c r="D64" i="18"/>
  <c r="D70" i="18" s="1"/>
  <c r="E55" i="18"/>
  <c r="D38" i="18"/>
  <c r="D33" i="18" s="1"/>
  <c r="C45" i="18"/>
  <c r="C51" i="18" s="1"/>
  <c r="C44" i="17"/>
  <c r="C50" i="17" s="1"/>
  <c r="C34" i="17"/>
  <c r="H56" i="16"/>
  <c r="G65" i="16"/>
  <c r="D48" i="16"/>
  <c r="C71" i="16"/>
  <c r="H60" i="16"/>
  <c r="E35" i="16"/>
  <c r="E14" i="11"/>
  <c r="E25" i="11" s="1"/>
  <c r="L3" i="11" s="1"/>
  <c r="F3" i="11"/>
  <c r="F14" i="11" s="1"/>
  <c r="F25" i="11" s="1"/>
  <c r="M3" i="11" s="1"/>
  <c r="D37" i="17"/>
  <c r="D65" i="17"/>
  <c r="D71" i="17" s="1"/>
  <c r="E55" i="17"/>
  <c r="C51" i="19"/>
  <c r="D51" i="19" s="1"/>
  <c r="H59" i="17"/>
  <c r="B18" i="19"/>
  <c r="I42" i="13"/>
  <c r="C116" i="15"/>
  <c r="D116" i="15" s="1"/>
  <c r="C119" i="15"/>
  <c r="C111" i="15"/>
  <c r="C112" i="15" s="1"/>
  <c r="C126" i="15"/>
  <c r="K102" i="15"/>
  <c r="J108" i="15"/>
  <c r="D102" i="15"/>
  <c r="D124" i="15" s="1"/>
  <c r="D108" i="15"/>
  <c r="E96" i="15"/>
  <c r="D90" i="15"/>
  <c r="D120" i="15" s="1"/>
  <c r="D84" i="15"/>
  <c r="D118" i="15" s="1"/>
  <c r="E108" i="15"/>
  <c r="I108" i="15"/>
  <c r="E84" i="15"/>
  <c r="H99" i="15"/>
  <c r="G96" i="15"/>
  <c r="I84" i="15"/>
  <c r="I96" i="15"/>
  <c r="D93" i="15"/>
  <c r="D121" i="15" s="1"/>
  <c r="D81" i="15"/>
  <c r="D117" i="15" s="1"/>
  <c r="G69" i="15"/>
  <c r="F77" i="15"/>
  <c r="F76" i="15"/>
  <c r="L104" i="15"/>
  <c r="L103" i="15"/>
  <c r="N110" i="15"/>
  <c r="N109" i="15"/>
  <c r="L99" i="15"/>
  <c r="F84" i="15"/>
  <c r="D75" i="15"/>
  <c r="D115" i="15" s="1"/>
  <c r="L105" i="15"/>
  <c r="D105" i="15"/>
  <c r="L87" i="15"/>
  <c r="J93" i="15"/>
  <c r="H81" i="15"/>
  <c r="J98" i="15"/>
  <c r="J97" i="15"/>
  <c r="D99" i="15"/>
  <c r="D123" i="15" s="1"/>
  <c r="M107" i="15"/>
  <c r="M106" i="15"/>
  <c r="J86" i="15"/>
  <c r="J85" i="15"/>
  <c r="I83" i="15"/>
  <c r="I82" i="15"/>
  <c r="M101" i="15"/>
  <c r="M100" i="15"/>
  <c r="F108" i="15"/>
  <c r="K108" i="15"/>
  <c r="D96" i="15"/>
  <c r="D122" i="15" s="1"/>
  <c r="F81" i="15"/>
  <c r="M108" i="15"/>
  <c r="G84" i="15"/>
  <c r="E75" i="15"/>
  <c r="M89" i="15"/>
  <c r="M88" i="15"/>
  <c r="F96" i="15"/>
  <c r="D87" i="15"/>
  <c r="K95" i="15"/>
  <c r="K94" i="15"/>
  <c r="G108" i="15"/>
  <c r="J38" i="13" l="1"/>
  <c r="K98" i="25"/>
  <c r="K100" i="25" s="1"/>
  <c r="I35" i="13"/>
  <c r="J89" i="25"/>
  <c r="J91" i="25" s="1"/>
  <c r="I34" i="13"/>
  <c r="J86" i="25"/>
  <c r="J88" i="25" s="1"/>
  <c r="I36" i="19"/>
  <c r="I42" i="19" s="1"/>
  <c r="I49" i="19" s="1"/>
  <c r="I35" i="19"/>
  <c r="I41" i="19" s="1"/>
  <c r="I48" i="19" s="1"/>
  <c r="I34" i="19"/>
  <c r="I40" i="19" s="1"/>
  <c r="I47" i="19" s="1"/>
  <c r="I33" i="19"/>
  <c r="I39" i="19" s="1"/>
  <c r="L32" i="13"/>
  <c r="M80" i="25"/>
  <c r="M82" i="25" s="1"/>
  <c r="J32" i="19"/>
  <c r="M13" i="11"/>
  <c r="M18" i="11" s="1"/>
  <c r="M23" i="11" s="1"/>
  <c r="M28" i="11" s="1"/>
  <c r="M33" i="11" s="1"/>
  <c r="M38" i="11" s="1"/>
  <c r="M8" i="11"/>
  <c r="L13" i="11"/>
  <c r="L18" i="11" s="1"/>
  <c r="L23" i="11" s="1"/>
  <c r="L28" i="11" s="1"/>
  <c r="L33" i="11" s="1"/>
  <c r="L38" i="11" s="1"/>
  <c r="L8" i="11"/>
  <c r="E70" i="15"/>
  <c r="D71" i="15"/>
  <c r="D72" i="15"/>
  <c r="S62" i="15"/>
  <c r="R92" i="15"/>
  <c r="R91" i="15"/>
  <c r="R69" i="15"/>
  <c r="Q111" i="15"/>
  <c r="Q112" i="15" s="1"/>
  <c r="C19" i="19"/>
  <c r="C26" i="19" s="1"/>
  <c r="E19" i="19"/>
  <c r="E26" i="19" s="1"/>
  <c r="D19" i="19"/>
  <c r="D26" i="19" s="1"/>
  <c r="F18" i="19"/>
  <c r="F20" i="19" s="1"/>
  <c r="I26" i="27"/>
  <c r="I28" i="27" s="1"/>
  <c r="G147" i="15"/>
  <c r="G146" i="15"/>
  <c r="C65" i="22"/>
  <c r="C53" i="22"/>
  <c r="C59" i="22" s="1"/>
  <c r="E80" i="22"/>
  <c r="E86" i="22" s="1"/>
  <c r="F71" i="22"/>
  <c r="E39" i="22"/>
  <c r="D47" i="22"/>
  <c r="D45" i="18"/>
  <c r="D51" i="18" s="1"/>
  <c r="F55" i="18"/>
  <c r="E64" i="18"/>
  <c r="E70" i="18" s="1"/>
  <c r="E38" i="18"/>
  <c r="E33" i="18" s="1"/>
  <c r="D44" i="17"/>
  <c r="D50" i="17" s="1"/>
  <c r="D34" i="17"/>
  <c r="I56" i="16"/>
  <c r="H65" i="16"/>
  <c r="E48" i="16"/>
  <c r="D71" i="16"/>
  <c r="I60" i="16"/>
  <c r="F35" i="16"/>
  <c r="E65" i="17"/>
  <c r="E71" i="17" s="1"/>
  <c r="E37" i="17"/>
  <c r="F55" i="17"/>
  <c r="I59" i="17"/>
  <c r="B21" i="19"/>
  <c r="B19" i="19"/>
  <c r="B20" i="19"/>
  <c r="E51" i="19"/>
  <c r="J42" i="13"/>
  <c r="D119" i="15"/>
  <c r="E119" i="15" s="1"/>
  <c r="E116" i="15"/>
  <c r="E121" i="15"/>
  <c r="E124" i="15"/>
  <c r="E123" i="15"/>
  <c r="E120" i="15"/>
  <c r="D125" i="15"/>
  <c r="E117" i="15"/>
  <c r="C127" i="15"/>
  <c r="D126" i="15"/>
  <c r="I81" i="15"/>
  <c r="M87" i="15"/>
  <c r="J84" i="15"/>
  <c r="L102" i="15"/>
  <c r="D111" i="15"/>
  <c r="D112" i="15" s="1"/>
  <c r="E122" i="15"/>
  <c r="E111" i="15"/>
  <c r="E112" i="15" s="1"/>
  <c r="K93" i="15"/>
  <c r="M105" i="15"/>
  <c r="J96" i="15"/>
  <c r="E115" i="15"/>
  <c r="F75" i="15"/>
  <c r="F111" i="15" s="1"/>
  <c r="F112" i="15" s="1"/>
  <c r="E118" i="15"/>
  <c r="J83" i="15"/>
  <c r="J82" i="15"/>
  <c r="N100" i="15"/>
  <c r="N101" i="15"/>
  <c r="L95" i="15"/>
  <c r="L94" i="15"/>
  <c r="N107" i="15"/>
  <c r="N106" i="15"/>
  <c r="K97" i="15"/>
  <c r="K98" i="15"/>
  <c r="H69" i="15"/>
  <c r="G77" i="15"/>
  <c r="G76" i="15"/>
  <c r="N88" i="15"/>
  <c r="N89" i="15"/>
  <c r="M99" i="15"/>
  <c r="K85" i="15"/>
  <c r="K86" i="15"/>
  <c r="N108" i="15"/>
  <c r="M104" i="15"/>
  <c r="M103" i="15"/>
  <c r="K38" i="13" l="1"/>
  <c r="L98" i="25"/>
  <c r="L100" i="25" s="1"/>
  <c r="J35" i="13"/>
  <c r="K89" i="25"/>
  <c r="K91" i="25" s="1"/>
  <c r="J34" i="13"/>
  <c r="K86" i="25"/>
  <c r="K88" i="25" s="1"/>
  <c r="I46" i="19"/>
  <c r="I50" i="19" s="1"/>
  <c r="I43" i="19"/>
  <c r="J34" i="19"/>
  <c r="J40" i="19" s="1"/>
  <c r="J47" i="19" s="1"/>
  <c r="J36" i="19"/>
  <c r="J42" i="19" s="1"/>
  <c r="J49" i="19" s="1"/>
  <c r="J33" i="19"/>
  <c r="J39" i="19" s="1"/>
  <c r="J35" i="19"/>
  <c r="J41" i="19" s="1"/>
  <c r="J48" i="19" s="1"/>
  <c r="M32" i="13"/>
  <c r="N80" i="25"/>
  <c r="N82" i="25" s="1"/>
  <c r="K32" i="19"/>
  <c r="R146" i="15"/>
  <c r="R147" i="15"/>
  <c r="R90" i="15"/>
  <c r="R111" i="15" s="1"/>
  <c r="R112" i="15" s="1"/>
  <c r="F70" i="15"/>
  <c r="E72" i="15"/>
  <c r="E71" i="15"/>
  <c r="T62" i="15"/>
  <c r="S91" i="15"/>
  <c r="S92" i="15"/>
  <c r="S69" i="15"/>
  <c r="F19" i="19"/>
  <c r="G18" i="19"/>
  <c r="G20" i="19" s="1"/>
  <c r="J26" i="27"/>
  <c r="J28" i="27" s="1"/>
  <c r="H147" i="15"/>
  <c r="H146" i="15"/>
  <c r="D65" i="22"/>
  <c r="D53" i="22"/>
  <c r="D59" i="22" s="1"/>
  <c r="E47" i="22"/>
  <c r="F80" i="22"/>
  <c r="F86" i="22" s="1"/>
  <c r="G71" i="22"/>
  <c r="F39" i="22"/>
  <c r="E45" i="18"/>
  <c r="E51" i="18" s="1"/>
  <c r="F38" i="18"/>
  <c r="F33" i="18" s="1"/>
  <c r="F64" i="18"/>
  <c r="F70" i="18" s="1"/>
  <c r="G55" i="18"/>
  <c r="E44" i="17"/>
  <c r="E50" i="17" s="1"/>
  <c r="E34" i="17"/>
  <c r="J56" i="16"/>
  <c r="I65" i="16"/>
  <c r="F48" i="16"/>
  <c r="E71" i="16"/>
  <c r="J60" i="16"/>
  <c r="G35" i="16"/>
  <c r="F65" i="17"/>
  <c r="F71" i="17" s="1"/>
  <c r="F37" i="17"/>
  <c r="G55" i="17"/>
  <c r="B26" i="19"/>
  <c r="B27" i="19" s="1"/>
  <c r="C27" i="19" s="1"/>
  <c r="J59" i="17"/>
  <c r="B22" i="19"/>
  <c r="C21" i="19"/>
  <c r="B23" i="19"/>
  <c r="C153" i="15"/>
  <c r="C44" i="11" s="1"/>
  <c r="C52" i="11" s="1"/>
  <c r="F26" i="19"/>
  <c r="F51" i="19"/>
  <c r="K42" i="13"/>
  <c r="D127" i="15"/>
  <c r="D153" i="15" s="1"/>
  <c r="D44" i="11" s="1"/>
  <c r="D52" i="11" s="1"/>
  <c r="F119" i="15"/>
  <c r="E125" i="15"/>
  <c r="F123" i="15"/>
  <c r="F121" i="15"/>
  <c r="F118" i="15"/>
  <c r="F117" i="15"/>
  <c r="E126" i="15"/>
  <c r="F116" i="15"/>
  <c r="F122" i="15"/>
  <c r="F120" i="15"/>
  <c r="F124" i="15"/>
  <c r="N105" i="15"/>
  <c r="G75" i="15"/>
  <c r="G111" i="15" s="1"/>
  <c r="G112" i="15" s="1"/>
  <c r="L93" i="15"/>
  <c r="M102" i="15"/>
  <c r="J81" i="15"/>
  <c r="F115" i="15"/>
  <c r="K96" i="15"/>
  <c r="N99" i="15"/>
  <c r="K83" i="15"/>
  <c r="K82" i="15"/>
  <c r="L98" i="15"/>
  <c r="L97" i="15"/>
  <c r="K84" i="15"/>
  <c r="N87" i="15"/>
  <c r="I69" i="15"/>
  <c r="H77" i="15"/>
  <c r="H76" i="15"/>
  <c r="M95" i="15"/>
  <c r="M94" i="15"/>
  <c r="N104" i="15"/>
  <c r="N103" i="15"/>
  <c r="L86" i="15"/>
  <c r="L85" i="15"/>
  <c r="L38" i="13" l="1"/>
  <c r="M98" i="25"/>
  <c r="M100" i="25" s="1"/>
  <c r="K35" i="13"/>
  <c r="L89" i="25"/>
  <c r="L91" i="25" s="1"/>
  <c r="K34" i="13"/>
  <c r="L86" i="25"/>
  <c r="L88" i="25" s="1"/>
  <c r="N32" i="13"/>
  <c r="O80" i="25"/>
  <c r="O82" i="25" s="1"/>
  <c r="L32" i="19"/>
  <c r="K35" i="19"/>
  <c r="K41" i="19" s="1"/>
  <c r="K48" i="19" s="1"/>
  <c r="K36" i="19"/>
  <c r="K42" i="19" s="1"/>
  <c r="K49" i="19" s="1"/>
  <c r="K33" i="19"/>
  <c r="K39" i="19" s="1"/>
  <c r="K34" i="19"/>
  <c r="K40" i="19" s="1"/>
  <c r="K47" i="19" s="1"/>
  <c r="J46" i="19"/>
  <c r="J50" i="19" s="1"/>
  <c r="J43" i="19"/>
  <c r="S90" i="15"/>
  <c r="S111" i="15" s="1"/>
  <c r="S112" i="15" s="1"/>
  <c r="U62" i="15"/>
  <c r="T91" i="15"/>
  <c r="T92" i="15"/>
  <c r="T90" i="15" s="1"/>
  <c r="T111" i="15" s="1"/>
  <c r="T69" i="15"/>
  <c r="S146" i="15"/>
  <c r="S147" i="15"/>
  <c r="F72" i="15"/>
  <c r="F71" i="15"/>
  <c r="G70" i="15"/>
  <c r="G19" i="19"/>
  <c r="G26" i="19" s="1"/>
  <c r="F41" i="27"/>
  <c r="F43" i="27" s="1"/>
  <c r="E41" i="27"/>
  <c r="E43" i="27" s="1"/>
  <c r="H18" i="19"/>
  <c r="H19" i="19" s="1"/>
  <c r="K26" i="27"/>
  <c r="K28" i="27" s="1"/>
  <c r="I147" i="15"/>
  <c r="I146" i="15"/>
  <c r="E65" i="22"/>
  <c r="E53" i="22"/>
  <c r="E59" i="22" s="1"/>
  <c r="F47" i="22"/>
  <c r="G80" i="22"/>
  <c r="G86" i="22" s="1"/>
  <c r="H71" i="22"/>
  <c r="G39" i="22"/>
  <c r="B29" i="19"/>
  <c r="B54" i="19" s="1"/>
  <c r="B55" i="19" s="1"/>
  <c r="B56" i="19" s="1"/>
  <c r="F45" i="18"/>
  <c r="F51" i="18" s="1"/>
  <c r="H55" i="18"/>
  <c r="G64" i="18"/>
  <c r="G70" i="18" s="1"/>
  <c r="G38" i="18"/>
  <c r="G33" i="18" s="1"/>
  <c r="F44" i="17"/>
  <c r="F50" i="17" s="1"/>
  <c r="F34" i="17"/>
  <c r="K56" i="16"/>
  <c r="J65" i="16"/>
  <c r="G48" i="16"/>
  <c r="F71" i="16"/>
  <c r="K60" i="16"/>
  <c r="H35" i="16"/>
  <c r="G65" i="17"/>
  <c r="G71" i="17" s="1"/>
  <c r="H55" i="17"/>
  <c r="G37" i="17"/>
  <c r="C28" i="19"/>
  <c r="C29" i="19" s="1"/>
  <c r="C54" i="19" s="1"/>
  <c r="C55" i="19" s="1"/>
  <c r="C62" i="19" s="1"/>
  <c r="K59" i="17"/>
  <c r="C23" i="19"/>
  <c r="C22" i="19"/>
  <c r="D21" i="19"/>
  <c r="G51" i="19"/>
  <c r="L42" i="13"/>
  <c r="F125" i="15"/>
  <c r="E127" i="15"/>
  <c r="E153" i="15" s="1"/>
  <c r="E44" i="11" s="1"/>
  <c r="E52" i="11" s="1"/>
  <c r="G117" i="15"/>
  <c r="G118" i="15"/>
  <c r="G123" i="15"/>
  <c r="G124" i="15"/>
  <c r="G122" i="15"/>
  <c r="F126" i="15"/>
  <c r="G116" i="15"/>
  <c r="G121" i="15"/>
  <c r="G120" i="15"/>
  <c r="G119" i="15"/>
  <c r="M93" i="15"/>
  <c r="H75" i="15"/>
  <c r="H111" i="15" s="1"/>
  <c r="H112" i="15" s="1"/>
  <c r="K81" i="15"/>
  <c r="L96" i="15"/>
  <c r="G115" i="15"/>
  <c r="L84" i="15"/>
  <c r="M98" i="15"/>
  <c r="M97" i="15"/>
  <c r="M86" i="15"/>
  <c r="M85" i="15"/>
  <c r="N102" i="15"/>
  <c r="N94" i="15"/>
  <c r="N95" i="15"/>
  <c r="J69" i="15"/>
  <c r="I77" i="15"/>
  <c r="I76" i="15"/>
  <c r="L82" i="15"/>
  <c r="L83" i="15"/>
  <c r="H20" i="19" l="1"/>
  <c r="H26" i="19" s="1"/>
  <c r="M38" i="13"/>
  <c r="N98" i="25"/>
  <c r="N100" i="25" s="1"/>
  <c r="L35" i="13"/>
  <c r="M89" i="25"/>
  <c r="M91" i="25" s="1"/>
  <c r="L34" i="13"/>
  <c r="M86" i="25"/>
  <c r="M88" i="25" s="1"/>
  <c r="L36" i="19"/>
  <c r="L42" i="19" s="1"/>
  <c r="L49" i="19" s="1"/>
  <c r="L33" i="19"/>
  <c r="L39" i="19" s="1"/>
  <c r="L35" i="19"/>
  <c r="L41" i="19" s="1"/>
  <c r="L48" i="19" s="1"/>
  <c r="L34" i="19"/>
  <c r="L40" i="19" s="1"/>
  <c r="L47" i="19" s="1"/>
  <c r="K46" i="19"/>
  <c r="K50" i="19" s="1"/>
  <c r="K43" i="19"/>
  <c r="M32" i="19"/>
  <c r="M33" i="19" s="1"/>
  <c r="M39" i="19" s="1"/>
  <c r="P80" i="25"/>
  <c r="P82" i="25" s="1"/>
  <c r="G72" i="15"/>
  <c r="G71" i="15"/>
  <c r="H70" i="15"/>
  <c r="G24" i="30" s="1"/>
  <c r="T112" i="15"/>
  <c r="T146" i="15"/>
  <c r="T147" i="15"/>
  <c r="V62" i="15"/>
  <c r="U92" i="15"/>
  <c r="U91" i="15"/>
  <c r="U90" i="15" s="1"/>
  <c r="U111" i="15" s="1"/>
  <c r="U69" i="15"/>
  <c r="G41" i="27"/>
  <c r="G43" i="27" s="1"/>
  <c r="C65" i="19"/>
  <c r="F11" i="27" s="1"/>
  <c r="F13" i="27" s="1"/>
  <c r="F3" i="27"/>
  <c r="F5" i="27" s="1"/>
  <c r="I18" i="19"/>
  <c r="I20" i="19" s="1"/>
  <c r="L26" i="27"/>
  <c r="L28" i="27" s="1"/>
  <c r="J147" i="15"/>
  <c r="J146" i="15"/>
  <c r="B62" i="19"/>
  <c r="C63" i="19" s="1"/>
  <c r="F65" i="22"/>
  <c r="F53" i="22"/>
  <c r="F59" i="22" s="1"/>
  <c r="H80" i="22"/>
  <c r="H86" i="22" s="1"/>
  <c r="I71" i="22"/>
  <c r="H39" i="22"/>
  <c r="G47" i="22"/>
  <c r="F127" i="15"/>
  <c r="F153" i="15" s="1"/>
  <c r="F44" i="11" s="1"/>
  <c r="F52" i="11" s="1"/>
  <c r="H64" i="18"/>
  <c r="H70" i="18" s="1"/>
  <c r="H38" i="18"/>
  <c r="I55" i="18"/>
  <c r="G45" i="18"/>
  <c r="G51" i="18" s="1"/>
  <c r="G44" i="17"/>
  <c r="G50" i="17" s="1"/>
  <c r="G34" i="17"/>
  <c r="L56" i="16"/>
  <c r="K65" i="16"/>
  <c r="H48" i="16"/>
  <c r="G71" i="16"/>
  <c r="L60" i="16"/>
  <c r="I35" i="16"/>
  <c r="H65" i="17"/>
  <c r="H71" i="17" s="1"/>
  <c r="I55" i="17"/>
  <c r="H37" i="17"/>
  <c r="D27" i="19"/>
  <c r="D28" i="19" s="1"/>
  <c r="D29" i="19" s="1"/>
  <c r="D54" i="19" s="1"/>
  <c r="D55" i="19" s="1"/>
  <c r="D62" i="19" s="1"/>
  <c r="G3" i="27" s="1"/>
  <c r="G5" i="27" s="1"/>
  <c r="L59" i="17"/>
  <c r="B59" i="19"/>
  <c r="C56" i="19"/>
  <c r="C59" i="19" s="1"/>
  <c r="C60" i="19" s="1"/>
  <c r="C61" i="19" s="1"/>
  <c r="C92" i="19" s="1"/>
  <c r="D23" i="19"/>
  <c r="D22" i="19"/>
  <c r="E21" i="19"/>
  <c r="H51" i="19"/>
  <c r="M42" i="13"/>
  <c r="H117" i="15"/>
  <c r="H123" i="15"/>
  <c r="H119" i="15"/>
  <c r="H121" i="15"/>
  <c r="G126" i="15"/>
  <c r="H124" i="15"/>
  <c r="H118" i="15"/>
  <c r="G125" i="15"/>
  <c r="H120" i="15"/>
  <c r="H116" i="15"/>
  <c r="H122" i="15"/>
  <c r="L81" i="15"/>
  <c r="H115" i="15"/>
  <c r="M96" i="15"/>
  <c r="M83" i="15"/>
  <c r="M82" i="15"/>
  <c r="K69" i="15"/>
  <c r="J76" i="15"/>
  <c r="J77" i="15"/>
  <c r="M84" i="15"/>
  <c r="N98" i="15"/>
  <c r="N97" i="15"/>
  <c r="I75" i="15"/>
  <c r="I111" i="15" s="1"/>
  <c r="I112" i="15" s="1"/>
  <c r="N93" i="15"/>
  <c r="N86" i="15"/>
  <c r="N85" i="15"/>
  <c r="G62" i="30" l="1"/>
  <c r="G63" i="30" s="1"/>
  <c r="G64" i="30" s="1"/>
  <c r="G68" i="30"/>
  <c r="G69" i="30" s="1"/>
  <c r="G27" i="30"/>
  <c r="G51" i="30"/>
  <c r="G54" i="30" s="1"/>
  <c r="G57" i="30" s="1"/>
  <c r="G50" i="30"/>
  <c r="N38" i="13"/>
  <c r="P98" i="25" s="1"/>
  <c r="P100" i="25" s="1"/>
  <c r="O98" i="25"/>
  <c r="O100" i="25" s="1"/>
  <c r="M35" i="13"/>
  <c r="N89" i="25"/>
  <c r="N91" i="25" s="1"/>
  <c r="M34" i="13"/>
  <c r="N86" i="25"/>
  <c r="N88" i="25" s="1"/>
  <c r="L46" i="19"/>
  <c r="L50" i="19" s="1"/>
  <c r="L43" i="19"/>
  <c r="M36" i="19"/>
  <c r="M42" i="19" s="1"/>
  <c r="M49" i="19" s="1"/>
  <c r="M34" i="19"/>
  <c r="M40" i="19" s="1"/>
  <c r="M47" i="19" s="1"/>
  <c r="M35" i="19"/>
  <c r="M41" i="19" s="1"/>
  <c r="M48" i="19" s="1"/>
  <c r="U146" i="15"/>
  <c r="U147" i="15"/>
  <c r="H72" i="15"/>
  <c r="G26" i="30" s="1"/>
  <c r="H71" i="15"/>
  <c r="G25" i="30" s="1"/>
  <c r="I70" i="15"/>
  <c r="H24" i="30" s="1"/>
  <c r="U112" i="15"/>
  <c r="W62" i="15"/>
  <c r="V92" i="15"/>
  <c r="V91" i="15"/>
  <c r="V90" i="15" s="1"/>
  <c r="V111" i="15" s="1"/>
  <c r="V69" i="15"/>
  <c r="I19" i="19"/>
  <c r="I26" i="19" s="1"/>
  <c r="H41" i="27"/>
  <c r="H43" i="27" s="1"/>
  <c r="J18" i="19"/>
  <c r="J19" i="19" s="1"/>
  <c r="M26" i="27"/>
  <c r="M28" i="27" s="1"/>
  <c r="K147" i="15"/>
  <c r="K146" i="15"/>
  <c r="B65" i="19"/>
  <c r="E11" i="27" s="1"/>
  <c r="E13" i="27" s="1"/>
  <c r="E3" i="27"/>
  <c r="E5" i="27" s="1"/>
  <c r="G10" i="27"/>
  <c r="G9" i="27"/>
  <c r="F10" i="27"/>
  <c r="F9" i="27"/>
  <c r="G65" i="22"/>
  <c r="G53" i="22"/>
  <c r="G59" i="22" s="1"/>
  <c r="I80" i="22"/>
  <c r="I86" i="22" s="1"/>
  <c r="J71" i="22"/>
  <c r="I39" i="22"/>
  <c r="H47" i="22"/>
  <c r="H33" i="18"/>
  <c r="I64" i="18"/>
  <c r="I70" i="18" s="1"/>
  <c r="J55" i="18"/>
  <c r="I38" i="18"/>
  <c r="H45" i="18"/>
  <c r="H51" i="18" s="1"/>
  <c r="H44" i="17"/>
  <c r="H50" i="17" s="1"/>
  <c r="H34" i="17"/>
  <c r="M56" i="16"/>
  <c r="L65" i="16"/>
  <c r="I48" i="16"/>
  <c r="H71" i="16"/>
  <c r="M60" i="16"/>
  <c r="N60" i="16" s="1"/>
  <c r="O60" i="16" s="1"/>
  <c r="P60" i="16" s="1"/>
  <c r="Q60" i="16" s="1"/>
  <c r="R60" i="16" s="1"/>
  <c r="S60" i="16" s="1"/>
  <c r="T60" i="16" s="1"/>
  <c r="U60" i="16" s="1"/>
  <c r="V60" i="16" s="1"/>
  <c r="W60" i="16" s="1"/>
  <c r="X60" i="16" s="1"/>
  <c r="Y60" i="16" s="1"/>
  <c r="Z60" i="16" s="1"/>
  <c r="AA60" i="16" s="1"/>
  <c r="AB60" i="16" s="1"/>
  <c r="AC60" i="16" s="1"/>
  <c r="AD60" i="16" s="1"/>
  <c r="AE60" i="16" s="1"/>
  <c r="AF60" i="16" s="1"/>
  <c r="AG60" i="16" s="1"/>
  <c r="AH60" i="16" s="1"/>
  <c r="AI60" i="16" s="1"/>
  <c r="AJ60" i="16" s="1"/>
  <c r="AK60" i="16" s="1"/>
  <c r="AL60" i="16" s="1"/>
  <c r="AM60" i="16" s="1"/>
  <c r="AN60" i="16" s="1"/>
  <c r="AO60" i="16" s="1"/>
  <c r="AP60" i="16" s="1"/>
  <c r="AQ60" i="16" s="1"/>
  <c r="AR60" i="16" s="1"/>
  <c r="AS60" i="16" s="1"/>
  <c r="AT60" i="16" s="1"/>
  <c r="AU60" i="16" s="1"/>
  <c r="J35" i="16"/>
  <c r="I65" i="17"/>
  <c r="I71" i="17" s="1"/>
  <c r="J55" i="17"/>
  <c r="I37" i="17"/>
  <c r="D56" i="19"/>
  <c r="D59" i="19" s="1"/>
  <c r="D60" i="19" s="1"/>
  <c r="D61" i="19" s="1"/>
  <c r="D92" i="19" s="1"/>
  <c r="E27" i="19"/>
  <c r="E28" i="19" s="1"/>
  <c r="E29" i="19" s="1"/>
  <c r="E54" i="19" s="1"/>
  <c r="E55" i="19" s="1"/>
  <c r="C67" i="19"/>
  <c r="M59" i="17"/>
  <c r="N59" i="17" s="1"/>
  <c r="O59" i="17" s="1"/>
  <c r="P59" i="17" s="1"/>
  <c r="Q59" i="17" s="1"/>
  <c r="R59" i="17" s="1"/>
  <c r="S59" i="17" s="1"/>
  <c r="T59" i="17" s="1"/>
  <c r="U59" i="17" s="1"/>
  <c r="V59" i="17" s="1"/>
  <c r="W59" i="17" s="1"/>
  <c r="X59" i="17" s="1"/>
  <c r="Y59" i="17" s="1"/>
  <c r="Z59" i="17" s="1"/>
  <c r="AA59" i="17" s="1"/>
  <c r="AB59" i="17" s="1"/>
  <c r="AC59" i="17" s="1"/>
  <c r="AD59" i="17" s="1"/>
  <c r="AE59" i="17" s="1"/>
  <c r="AF59" i="17" s="1"/>
  <c r="AG59" i="17" s="1"/>
  <c r="AH59" i="17" s="1"/>
  <c r="AI59" i="17" s="1"/>
  <c r="AJ59" i="17" s="1"/>
  <c r="AK59" i="17" s="1"/>
  <c r="AL59" i="17" s="1"/>
  <c r="AM59" i="17" s="1"/>
  <c r="AN59" i="17" s="1"/>
  <c r="AO59" i="17" s="1"/>
  <c r="AP59" i="17" s="1"/>
  <c r="AQ59" i="17" s="1"/>
  <c r="AR59" i="17" s="1"/>
  <c r="AS59" i="17" s="1"/>
  <c r="AT59" i="17" s="1"/>
  <c r="AU59" i="17" s="1"/>
  <c r="AV59" i="17" s="1"/>
  <c r="AW59" i="17" s="1"/>
  <c r="AX59" i="17" s="1"/>
  <c r="AY59" i="17" s="1"/>
  <c r="AZ59" i="17" s="1"/>
  <c r="BA59" i="17" s="1"/>
  <c r="BB59" i="17" s="1"/>
  <c r="BC59" i="17" s="1"/>
  <c r="BD59" i="17" s="1"/>
  <c r="F21" i="19"/>
  <c r="E23" i="19"/>
  <c r="E22" i="19"/>
  <c r="B60" i="19"/>
  <c r="B61" i="19" s="1"/>
  <c r="B92" i="19" s="1"/>
  <c r="D65" i="19"/>
  <c r="G11" i="27" s="1"/>
  <c r="G13" i="27" s="1"/>
  <c r="D63" i="19"/>
  <c r="I51" i="19"/>
  <c r="N42" i="13"/>
  <c r="I117" i="15"/>
  <c r="J117" i="15" s="1"/>
  <c r="G127" i="15"/>
  <c r="I119" i="15"/>
  <c r="I122" i="15"/>
  <c r="I120" i="15"/>
  <c r="I118" i="15"/>
  <c r="I116" i="15"/>
  <c r="H125" i="15"/>
  <c r="I123" i="15"/>
  <c r="H126" i="15"/>
  <c r="I124" i="15"/>
  <c r="I121" i="15"/>
  <c r="M81" i="15"/>
  <c r="J75" i="15"/>
  <c r="J111" i="15" s="1"/>
  <c r="J112" i="15" s="1"/>
  <c r="I115" i="15"/>
  <c r="N84" i="15"/>
  <c r="N96" i="15"/>
  <c r="N83" i="15"/>
  <c r="N82" i="15"/>
  <c r="L69" i="15"/>
  <c r="K77" i="15"/>
  <c r="K76" i="15"/>
  <c r="G29" i="30" l="1"/>
  <c r="G32" i="30" s="1"/>
  <c r="G39" i="30"/>
  <c r="G42" i="30" s="1"/>
  <c r="G45" i="30" s="1"/>
  <c r="G28" i="30"/>
  <c r="G31" i="30" s="1"/>
  <c r="G38" i="30"/>
  <c r="G70" i="30"/>
  <c r="G71" i="30"/>
  <c r="H62" i="30"/>
  <c r="H63" i="30" s="1"/>
  <c r="H64" i="30" s="1"/>
  <c r="H68" i="30"/>
  <c r="H69" i="30" s="1"/>
  <c r="H27" i="30"/>
  <c r="H51" i="30"/>
  <c r="H54" i="30" s="1"/>
  <c r="H57" i="30" s="1"/>
  <c r="H50" i="30"/>
  <c r="G53" i="30"/>
  <c r="G49" i="30"/>
  <c r="G65" i="30"/>
  <c r="G66" i="30"/>
  <c r="N35" i="13"/>
  <c r="P89" i="25" s="1"/>
  <c r="P91" i="25" s="1"/>
  <c r="O89" i="25"/>
  <c r="O91" i="25" s="1"/>
  <c r="N34" i="13"/>
  <c r="P86" i="25" s="1"/>
  <c r="P88" i="25" s="1"/>
  <c r="O86" i="25"/>
  <c r="O88" i="25" s="1"/>
  <c r="M43" i="19"/>
  <c r="M46" i="19"/>
  <c r="M50" i="19" s="1"/>
  <c r="V146" i="15"/>
  <c r="V147" i="15"/>
  <c r="X62" i="15"/>
  <c r="W91" i="15"/>
  <c r="W92" i="15"/>
  <c r="W69" i="15"/>
  <c r="V112" i="15"/>
  <c r="I72" i="15"/>
  <c r="H26" i="30" s="1"/>
  <c r="I71" i="15"/>
  <c r="H25" i="30" s="1"/>
  <c r="J70" i="15"/>
  <c r="I24" i="30" s="1"/>
  <c r="J20" i="19"/>
  <c r="J26" i="19" s="1"/>
  <c r="M65" i="16"/>
  <c r="N56" i="16"/>
  <c r="K18" i="19"/>
  <c r="K20" i="19" s="1"/>
  <c r="N26" i="27"/>
  <c r="N28" i="27" s="1"/>
  <c r="L147" i="15"/>
  <c r="L146" i="15"/>
  <c r="E6" i="27"/>
  <c r="H65" i="22"/>
  <c r="H53" i="22"/>
  <c r="H59" i="22" s="1"/>
  <c r="J80" i="22"/>
  <c r="J86" i="22" s="1"/>
  <c r="K71" i="22"/>
  <c r="J39" i="22"/>
  <c r="I47" i="22"/>
  <c r="D67" i="19"/>
  <c r="I33" i="18"/>
  <c r="I45" i="18"/>
  <c r="I51" i="18" s="1"/>
  <c r="J38" i="18"/>
  <c r="K55" i="18"/>
  <c r="J64" i="18"/>
  <c r="J70" i="18" s="1"/>
  <c r="I44" i="17"/>
  <c r="I50" i="17" s="1"/>
  <c r="I34" i="17"/>
  <c r="J48" i="16"/>
  <c r="I71" i="16"/>
  <c r="K35" i="16"/>
  <c r="J65" i="17"/>
  <c r="J71" i="17" s="1"/>
  <c r="J37" i="17"/>
  <c r="K55" i="17"/>
  <c r="F27" i="19"/>
  <c r="F28" i="19" s="1"/>
  <c r="F29" i="19" s="1"/>
  <c r="F54" i="19" s="1"/>
  <c r="F55" i="19" s="1"/>
  <c r="B67" i="19"/>
  <c r="G153" i="15"/>
  <c r="G44" i="11" s="1"/>
  <c r="G52" i="11" s="1"/>
  <c r="G21" i="19"/>
  <c r="F23" i="19"/>
  <c r="F22" i="19"/>
  <c r="E56" i="19"/>
  <c r="E59" i="19" s="1"/>
  <c r="E60" i="19" s="1"/>
  <c r="E61" i="19" s="1"/>
  <c r="E92" i="19" s="1"/>
  <c r="E62" i="19"/>
  <c r="H3" i="27" s="1"/>
  <c r="H5" i="27" s="1"/>
  <c r="J51" i="19"/>
  <c r="J123" i="15"/>
  <c r="J116" i="15"/>
  <c r="J120" i="15"/>
  <c r="J119" i="15"/>
  <c r="J121" i="15"/>
  <c r="I126" i="15"/>
  <c r="H127" i="15"/>
  <c r="H153" i="15" s="1"/>
  <c r="H44" i="11" s="1"/>
  <c r="I125" i="15"/>
  <c r="J118" i="15"/>
  <c r="J122" i="15"/>
  <c r="J124" i="15"/>
  <c r="K117" i="15"/>
  <c r="N81" i="15"/>
  <c r="J115" i="15"/>
  <c r="K75" i="15"/>
  <c r="K111" i="15" s="1"/>
  <c r="K112" i="15" s="1"/>
  <c r="M69" i="15"/>
  <c r="L77" i="15"/>
  <c r="L76" i="15"/>
  <c r="G72" i="30" l="1"/>
  <c r="G74" i="30" s="1"/>
  <c r="G76" i="30" s="1"/>
  <c r="G82" i="30" s="1"/>
  <c r="G30" i="30"/>
  <c r="G33" i="30" s="1"/>
  <c r="H70" i="30"/>
  <c r="H71" i="30"/>
  <c r="H72" i="30" s="1"/>
  <c r="H49" i="30"/>
  <c r="H53" i="30"/>
  <c r="G52" i="30"/>
  <c r="G58" i="30" s="1"/>
  <c r="G81" i="30" s="1"/>
  <c r="G56" i="30"/>
  <c r="G55" i="30" s="1"/>
  <c r="G41" i="30"/>
  <c r="G37" i="30"/>
  <c r="I27" i="30"/>
  <c r="I51" i="30"/>
  <c r="I54" i="30" s="1"/>
  <c r="I57" i="30" s="1"/>
  <c r="I50" i="30"/>
  <c r="I68" i="30"/>
  <c r="I69" i="30" s="1"/>
  <c r="I62" i="30"/>
  <c r="I63" i="30" s="1"/>
  <c r="I64" i="30" s="1"/>
  <c r="H66" i="30"/>
  <c r="H65" i="30"/>
  <c r="H28" i="30"/>
  <c r="H31" i="30" s="1"/>
  <c r="H38" i="30"/>
  <c r="H39" i="30"/>
  <c r="H42" i="30" s="1"/>
  <c r="H45" i="30" s="1"/>
  <c r="H29" i="30"/>
  <c r="H32" i="30" s="1"/>
  <c r="Y62" i="15"/>
  <c r="X91" i="15"/>
  <c r="X90" i="15" s="1"/>
  <c r="X111" i="15" s="1"/>
  <c r="X92" i="15"/>
  <c r="X69" i="15"/>
  <c r="J72" i="15"/>
  <c r="I26" i="30" s="1"/>
  <c r="J71" i="15"/>
  <c r="I25" i="30" s="1"/>
  <c r="K70" i="15"/>
  <c r="J24" i="30" s="1"/>
  <c r="W146" i="15"/>
  <c r="W147" i="15"/>
  <c r="W90" i="15"/>
  <c r="W111" i="15" s="1"/>
  <c r="W112" i="15" s="1"/>
  <c r="G27" i="19"/>
  <c r="G28" i="19" s="1"/>
  <c r="G29" i="19" s="1"/>
  <c r="G54" i="19" s="1"/>
  <c r="G55" i="19" s="1"/>
  <c r="K19" i="19"/>
  <c r="K26" i="19" s="1"/>
  <c r="O56" i="16"/>
  <c r="N65" i="16"/>
  <c r="J41" i="27"/>
  <c r="J43" i="27" s="1"/>
  <c r="I41" i="27"/>
  <c r="I43" i="27" s="1"/>
  <c r="E9" i="27"/>
  <c r="E10" i="27"/>
  <c r="L18" i="19"/>
  <c r="L19" i="19" s="1"/>
  <c r="O26" i="27"/>
  <c r="O28" i="27" s="1"/>
  <c r="M147" i="15"/>
  <c r="M146" i="15"/>
  <c r="H10" i="27"/>
  <c r="H9" i="27"/>
  <c r="E8" i="27"/>
  <c r="F6" i="27"/>
  <c r="I65" i="22"/>
  <c r="I53" i="22"/>
  <c r="I59" i="22" s="1"/>
  <c r="K80" i="22"/>
  <c r="K86" i="22" s="1"/>
  <c r="L71" i="22"/>
  <c r="K39" i="22"/>
  <c r="J47" i="22"/>
  <c r="I127" i="15"/>
  <c r="I153" i="15" s="1"/>
  <c r="I44" i="11" s="1"/>
  <c r="J33" i="18"/>
  <c r="J45" i="18"/>
  <c r="J51" i="18" s="1"/>
  <c r="L55" i="18"/>
  <c r="K64" i="18"/>
  <c r="K70" i="18" s="1"/>
  <c r="K38" i="18"/>
  <c r="J44" i="17"/>
  <c r="J50" i="17" s="1"/>
  <c r="J34" i="17"/>
  <c r="K48" i="16"/>
  <c r="J71" i="16"/>
  <c r="L35" i="16"/>
  <c r="K65" i="17"/>
  <c r="K71" i="17" s="1"/>
  <c r="L55" i="17"/>
  <c r="K37" i="17"/>
  <c r="E67" i="19"/>
  <c r="G23" i="19"/>
  <c r="H21" i="19"/>
  <c r="G22" i="19"/>
  <c r="E65" i="19"/>
  <c r="H11" i="27" s="1"/>
  <c r="H13" i="27" s="1"/>
  <c r="E63" i="19"/>
  <c r="F56" i="19"/>
  <c r="F59" i="19" s="1"/>
  <c r="F60" i="19" s="1"/>
  <c r="F61" i="19" s="1"/>
  <c r="F92" i="19" s="1"/>
  <c r="F62" i="19"/>
  <c r="I3" i="27" s="1"/>
  <c r="I5" i="27" s="1"/>
  <c r="K51" i="19"/>
  <c r="K124" i="15"/>
  <c r="K122" i="15"/>
  <c r="J126" i="15"/>
  <c r="K119" i="15"/>
  <c r="K116" i="15"/>
  <c r="J125" i="15"/>
  <c r="K121" i="15"/>
  <c r="K118" i="15"/>
  <c r="K120" i="15"/>
  <c r="K123" i="15"/>
  <c r="L117" i="15"/>
  <c r="L75" i="15"/>
  <c r="L111" i="15" s="1"/>
  <c r="L112" i="15" s="1"/>
  <c r="K115" i="15"/>
  <c r="N69" i="15"/>
  <c r="M77" i="15"/>
  <c r="M76" i="15"/>
  <c r="G73" i="30" l="1"/>
  <c r="G75" i="30" s="1"/>
  <c r="G34" i="30"/>
  <c r="G79" i="30" s="1"/>
  <c r="H30" i="30"/>
  <c r="H34" i="30" s="1"/>
  <c r="H79" i="30" s="1"/>
  <c r="H41" i="30"/>
  <c r="H37" i="30"/>
  <c r="I53" i="30"/>
  <c r="I49" i="30"/>
  <c r="H74" i="30"/>
  <c r="H76" i="30" s="1"/>
  <c r="H82" i="30" s="1"/>
  <c r="H73" i="30"/>
  <c r="H75" i="30" s="1"/>
  <c r="I66" i="30"/>
  <c r="I65" i="30"/>
  <c r="H56" i="30"/>
  <c r="H55" i="30" s="1"/>
  <c r="H52" i="30"/>
  <c r="H58" i="30" s="1"/>
  <c r="H81" i="30" s="1"/>
  <c r="I38" i="30"/>
  <c r="I28" i="30"/>
  <c r="I31" i="30" s="1"/>
  <c r="J27" i="30"/>
  <c r="J68" i="30"/>
  <c r="J69" i="30" s="1"/>
  <c r="J62" i="30"/>
  <c r="J63" i="30" s="1"/>
  <c r="J64" i="30" s="1"/>
  <c r="J51" i="30"/>
  <c r="J54" i="30" s="1"/>
  <c r="J57" i="30" s="1"/>
  <c r="J50" i="30"/>
  <c r="I70" i="30"/>
  <c r="I71" i="30"/>
  <c r="I29" i="30"/>
  <c r="I32" i="30" s="1"/>
  <c r="I39" i="30"/>
  <c r="I42" i="30" s="1"/>
  <c r="I45" i="30" s="1"/>
  <c r="G40" i="30"/>
  <c r="G46" i="30" s="1"/>
  <c r="G80" i="30" s="1"/>
  <c r="G44" i="30"/>
  <c r="G43" i="30" s="1"/>
  <c r="G86" i="30" s="1"/>
  <c r="H27" i="19"/>
  <c r="H28" i="19" s="1"/>
  <c r="H29" i="19" s="1"/>
  <c r="X146" i="15"/>
  <c r="X147" i="15"/>
  <c r="K72" i="15"/>
  <c r="J26" i="30" s="1"/>
  <c r="K71" i="15"/>
  <c r="J25" i="30" s="1"/>
  <c r="L70" i="15"/>
  <c r="K24" i="30" s="1"/>
  <c r="X112" i="15"/>
  <c r="Z62" i="15"/>
  <c r="Y91" i="15"/>
  <c r="Y92" i="15"/>
  <c r="Y69" i="15"/>
  <c r="P56" i="16"/>
  <c r="O65" i="16"/>
  <c r="K41" i="27"/>
  <c r="K43" i="27" s="1"/>
  <c r="L20" i="19"/>
  <c r="L26" i="19" s="1"/>
  <c r="G6" i="27"/>
  <c r="F8" i="27"/>
  <c r="M20" i="19"/>
  <c r="P26" i="27"/>
  <c r="N147" i="15"/>
  <c r="N146" i="15"/>
  <c r="I9" i="27"/>
  <c r="I10" i="27"/>
  <c r="J65" i="22"/>
  <c r="J53" i="22"/>
  <c r="J59" i="22" s="1"/>
  <c r="K47" i="22"/>
  <c r="L80" i="22"/>
  <c r="L86" i="22" s="1"/>
  <c r="M71" i="22"/>
  <c r="L39" i="22"/>
  <c r="K33" i="18"/>
  <c r="K45" i="18"/>
  <c r="K51" i="18" s="1"/>
  <c r="L64" i="18"/>
  <c r="L70" i="18" s="1"/>
  <c r="L38" i="18"/>
  <c r="M55" i="18"/>
  <c r="K44" i="17"/>
  <c r="K50" i="17" s="1"/>
  <c r="K34" i="17"/>
  <c r="L48" i="16"/>
  <c r="K71" i="16"/>
  <c r="M35" i="16"/>
  <c r="N35" i="16" s="1"/>
  <c r="L65" i="17"/>
  <c r="L71" i="17" s="1"/>
  <c r="M55" i="17"/>
  <c r="N55" i="17" s="1"/>
  <c r="L37" i="17"/>
  <c r="F67" i="19"/>
  <c r="H22" i="19"/>
  <c r="I21" i="19"/>
  <c r="H23" i="19"/>
  <c r="F65" i="19"/>
  <c r="I11" i="27" s="1"/>
  <c r="I13" i="27" s="1"/>
  <c r="F63" i="19"/>
  <c r="G56" i="19"/>
  <c r="G59" i="19" s="1"/>
  <c r="G60" i="19" s="1"/>
  <c r="G61" i="19" s="1"/>
  <c r="G62" i="19"/>
  <c r="J3" i="27" s="1"/>
  <c r="J5" i="27" s="1"/>
  <c r="L51" i="19"/>
  <c r="J127" i="15"/>
  <c r="J153" i="15" s="1"/>
  <c r="J44" i="11" s="1"/>
  <c r="L123" i="15"/>
  <c r="K125" i="15"/>
  <c r="L119" i="15"/>
  <c r="L121" i="15"/>
  <c r="L124" i="15"/>
  <c r="L118" i="15"/>
  <c r="L122" i="15"/>
  <c r="L120" i="15"/>
  <c r="L116" i="15"/>
  <c r="K126" i="15"/>
  <c r="M117" i="15"/>
  <c r="L115" i="15"/>
  <c r="M75" i="15"/>
  <c r="M111" i="15" s="1"/>
  <c r="M112" i="15" s="1"/>
  <c r="N76" i="15"/>
  <c r="N77" i="15"/>
  <c r="G83" i="30" l="1"/>
  <c r="G87" i="30" s="1"/>
  <c r="H56" i="11" s="1"/>
  <c r="H33" i="30"/>
  <c r="I72" i="30"/>
  <c r="I73" i="30" s="1"/>
  <c r="I75" i="30" s="1"/>
  <c r="H45" i="11"/>
  <c r="H44" i="30"/>
  <c r="H43" i="30" s="1"/>
  <c r="H40" i="30"/>
  <c r="H46" i="30" s="1"/>
  <c r="H80" i="30" s="1"/>
  <c r="H83" i="30" s="1"/>
  <c r="J29" i="30"/>
  <c r="J32" i="30" s="1"/>
  <c r="J39" i="30"/>
  <c r="J42" i="30" s="1"/>
  <c r="J45" i="30" s="1"/>
  <c r="J49" i="30"/>
  <c r="J53" i="30"/>
  <c r="I30" i="30"/>
  <c r="I56" i="30"/>
  <c r="I55" i="30" s="1"/>
  <c r="I52" i="30"/>
  <c r="I58" i="30" s="1"/>
  <c r="I81" i="30" s="1"/>
  <c r="J28" i="30"/>
  <c r="J31" i="30" s="1"/>
  <c r="J38" i="30"/>
  <c r="J71" i="30"/>
  <c r="J70" i="30"/>
  <c r="K62" i="30"/>
  <c r="K63" i="30" s="1"/>
  <c r="K64" i="30" s="1"/>
  <c r="K27" i="30"/>
  <c r="K50" i="30"/>
  <c r="K51" i="30"/>
  <c r="K54" i="30" s="1"/>
  <c r="K57" i="30" s="1"/>
  <c r="K68" i="30"/>
  <c r="K69" i="30" s="1"/>
  <c r="J66" i="30"/>
  <c r="J65" i="30"/>
  <c r="I41" i="30"/>
  <c r="I37" i="30"/>
  <c r="I27" i="19"/>
  <c r="I28" i="19" s="1"/>
  <c r="I29" i="19" s="1"/>
  <c r="I54" i="19" s="1"/>
  <c r="I55" i="19" s="1"/>
  <c r="H54" i="19"/>
  <c r="H55" i="19" s="1"/>
  <c r="AA62" i="15"/>
  <c r="Z92" i="15"/>
  <c r="Z91" i="15"/>
  <c r="Z69" i="15"/>
  <c r="Y146" i="15"/>
  <c r="Y147" i="15"/>
  <c r="L72" i="15"/>
  <c r="K26" i="30" s="1"/>
  <c r="L71" i="15"/>
  <c r="K25" i="30" s="1"/>
  <c r="M70" i="15"/>
  <c r="L24" i="30" s="1"/>
  <c r="Y90" i="15"/>
  <c r="Y111" i="15" s="1"/>
  <c r="Y112" i="15" s="1"/>
  <c r="Q56" i="16"/>
  <c r="P65" i="16"/>
  <c r="L41" i="27"/>
  <c r="L43" i="27" s="1"/>
  <c r="N65" i="17"/>
  <c r="O55" i="17"/>
  <c r="M19" i="19"/>
  <c r="M26" i="19" s="1"/>
  <c r="H6" i="27"/>
  <c r="G8" i="27"/>
  <c r="J10" i="27"/>
  <c r="J9" i="27"/>
  <c r="P28" i="27"/>
  <c r="Q26" i="27"/>
  <c r="K65" i="22"/>
  <c r="K53" i="22"/>
  <c r="K59" i="22" s="1"/>
  <c r="L47" i="22"/>
  <c r="M80" i="22"/>
  <c r="M86" i="22" s="1"/>
  <c r="N86" i="22" s="1"/>
  <c r="O86" i="22" s="1"/>
  <c r="P86" i="22" s="1"/>
  <c r="Q86" i="22" s="1"/>
  <c r="R86" i="22" s="1"/>
  <c r="S86" i="22" s="1"/>
  <c r="T86" i="22" s="1"/>
  <c r="U86" i="22" s="1"/>
  <c r="V86" i="22" s="1"/>
  <c r="W86" i="22" s="1"/>
  <c r="X86" i="22" s="1"/>
  <c r="Y86" i="22" s="1"/>
  <c r="Z86" i="22" s="1"/>
  <c r="AA86" i="22" s="1"/>
  <c r="AB86" i="22" s="1"/>
  <c r="AC86" i="22" s="1"/>
  <c r="AD86" i="22" s="1"/>
  <c r="AE86" i="22" s="1"/>
  <c r="AF86" i="22" s="1"/>
  <c r="AG86" i="22" s="1"/>
  <c r="AH86" i="22" s="1"/>
  <c r="AI86" i="22" s="1"/>
  <c r="AJ86" i="22" s="1"/>
  <c r="AK86" i="22" s="1"/>
  <c r="AL86" i="22" s="1"/>
  <c r="AM86" i="22" s="1"/>
  <c r="AN86" i="22" s="1"/>
  <c r="AO86" i="22" s="1"/>
  <c r="AP86" i="22" s="1"/>
  <c r="AQ86" i="22" s="1"/>
  <c r="AR86" i="22" s="1"/>
  <c r="AS86" i="22" s="1"/>
  <c r="AT86" i="22" s="1"/>
  <c r="AU86" i="22" s="1"/>
  <c r="AV86" i="22" s="1"/>
  <c r="AW86" i="22" s="1"/>
  <c r="AX86" i="22" s="1"/>
  <c r="AY86" i="22" s="1"/>
  <c r="AZ86" i="22" s="1"/>
  <c r="BA86" i="22" s="1"/>
  <c r="BB86" i="22" s="1"/>
  <c r="BC86" i="22" s="1"/>
  <c r="BD86" i="22" s="1"/>
  <c r="N71" i="22"/>
  <c r="M39" i="22"/>
  <c r="L33" i="18"/>
  <c r="L45" i="18"/>
  <c r="L51" i="18" s="1"/>
  <c r="M38" i="18"/>
  <c r="M64" i="18"/>
  <c r="M70" i="18" s="1"/>
  <c r="N70" i="18" s="1"/>
  <c r="O70" i="18" s="1"/>
  <c r="P70" i="18" s="1"/>
  <c r="Q70" i="18" s="1"/>
  <c r="R70" i="18" s="1"/>
  <c r="S70" i="18" s="1"/>
  <c r="T70" i="18" s="1"/>
  <c r="U70" i="18" s="1"/>
  <c r="V70" i="18" s="1"/>
  <c r="W70" i="18" s="1"/>
  <c r="X70" i="18" s="1"/>
  <c r="Y70" i="18" s="1"/>
  <c r="Z70" i="18" s="1"/>
  <c r="AA70" i="18" s="1"/>
  <c r="AB70" i="18" s="1"/>
  <c r="AC70" i="18" s="1"/>
  <c r="AD70" i="18" s="1"/>
  <c r="AE70" i="18" s="1"/>
  <c r="AF70" i="18" s="1"/>
  <c r="AG70" i="18" s="1"/>
  <c r="AH70" i="18" s="1"/>
  <c r="AI70" i="18" s="1"/>
  <c r="AJ70" i="18" s="1"/>
  <c r="AK70" i="18" s="1"/>
  <c r="AL70" i="18" s="1"/>
  <c r="AM70" i="18" s="1"/>
  <c r="AN70" i="18" s="1"/>
  <c r="AO70" i="18" s="1"/>
  <c r="AP70" i="18" s="1"/>
  <c r="AQ70" i="18" s="1"/>
  <c r="AR70" i="18" s="1"/>
  <c r="AS70" i="18" s="1"/>
  <c r="AT70" i="18" s="1"/>
  <c r="AU70" i="18" s="1"/>
  <c r="AV70" i="18" s="1"/>
  <c r="AW70" i="18" s="1"/>
  <c r="AX70" i="18" s="1"/>
  <c r="AY70" i="18" s="1"/>
  <c r="AZ70" i="18" s="1"/>
  <c r="BA70" i="18" s="1"/>
  <c r="BB70" i="18" s="1"/>
  <c r="BC70" i="18" s="1"/>
  <c r="BD70" i="18" s="1"/>
  <c r="N55" i="18"/>
  <c r="L44" i="17"/>
  <c r="L50" i="17" s="1"/>
  <c r="L34" i="17"/>
  <c r="O35" i="16"/>
  <c r="M48" i="16"/>
  <c r="L71" i="16"/>
  <c r="M37" i="17"/>
  <c r="M65" i="17"/>
  <c r="M71" i="17" s="1"/>
  <c r="N71" i="17" s="1"/>
  <c r="O71" i="17" s="1"/>
  <c r="P71" i="17" s="1"/>
  <c r="Q71" i="17" s="1"/>
  <c r="R71" i="17" s="1"/>
  <c r="S71" i="17" s="1"/>
  <c r="T71" i="17" s="1"/>
  <c r="U71" i="17" s="1"/>
  <c r="V71" i="17" s="1"/>
  <c r="W71" i="17" s="1"/>
  <c r="X71" i="17" s="1"/>
  <c r="Y71" i="17" s="1"/>
  <c r="Z71" i="17" s="1"/>
  <c r="AA71" i="17" s="1"/>
  <c r="AB71" i="17" s="1"/>
  <c r="AC71" i="17" s="1"/>
  <c r="AD71" i="17" s="1"/>
  <c r="AE71" i="17" s="1"/>
  <c r="AF71" i="17" s="1"/>
  <c r="AG71" i="17" s="1"/>
  <c r="AH71" i="17" s="1"/>
  <c r="AI71" i="17" s="1"/>
  <c r="AJ71" i="17" s="1"/>
  <c r="AK71" i="17" s="1"/>
  <c r="AL71" i="17" s="1"/>
  <c r="AM71" i="17" s="1"/>
  <c r="AN71" i="17" s="1"/>
  <c r="AO71" i="17" s="1"/>
  <c r="AP71" i="17" s="1"/>
  <c r="AQ71" i="17" s="1"/>
  <c r="AR71" i="17" s="1"/>
  <c r="AS71" i="17" s="1"/>
  <c r="AT71" i="17" s="1"/>
  <c r="AU71" i="17" s="1"/>
  <c r="AV71" i="17" s="1"/>
  <c r="AW71" i="17" s="1"/>
  <c r="AX71" i="17" s="1"/>
  <c r="AY71" i="17" s="1"/>
  <c r="AZ71" i="17" s="1"/>
  <c r="BA71" i="17" s="1"/>
  <c r="BB71" i="17" s="1"/>
  <c r="BC71" i="17" s="1"/>
  <c r="BD71" i="17" s="1"/>
  <c r="G67" i="19"/>
  <c r="G92" i="19"/>
  <c r="I23" i="19"/>
  <c r="I22" i="19"/>
  <c r="J21" i="19"/>
  <c r="G65" i="19"/>
  <c r="J11" i="27" s="1"/>
  <c r="J13" i="27" s="1"/>
  <c r="G63" i="19"/>
  <c r="M51" i="19"/>
  <c r="K127" i="15"/>
  <c r="K153" i="15" s="1"/>
  <c r="K44" i="11" s="1"/>
  <c r="M118" i="15"/>
  <c r="M121" i="15"/>
  <c r="L126" i="15"/>
  <c r="M120" i="15"/>
  <c r="L125" i="15"/>
  <c r="M122" i="15"/>
  <c r="M124" i="15"/>
  <c r="M119" i="15"/>
  <c r="M116" i="15"/>
  <c r="M123" i="15"/>
  <c r="N117" i="15"/>
  <c r="O117" i="15" s="1"/>
  <c r="P117" i="15" s="1"/>
  <c r="Q117" i="15" s="1"/>
  <c r="R117" i="15" s="1"/>
  <c r="S117" i="15" s="1"/>
  <c r="T117" i="15" s="1"/>
  <c r="U117" i="15" s="1"/>
  <c r="V117" i="15" s="1"/>
  <c r="W117" i="15" s="1"/>
  <c r="X117" i="15" s="1"/>
  <c r="Y117" i="15" s="1"/>
  <c r="Z117" i="15" s="1"/>
  <c r="AA117" i="15" s="1"/>
  <c r="AB117" i="15" s="1"/>
  <c r="AC117" i="15" s="1"/>
  <c r="AD117" i="15" s="1"/>
  <c r="AE117" i="15" s="1"/>
  <c r="AF117" i="15" s="1"/>
  <c r="AG117" i="15" s="1"/>
  <c r="AH117" i="15" s="1"/>
  <c r="AI117" i="15" s="1"/>
  <c r="AJ117" i="15" s="1"/>
  <c r="AK117" i="15" s="1"/>
  <c r="AL117" i="15" s="1"/>
  <c r="AM117" i="15" s="1"/>
  <c r="AN117" i="15" s="1"/>
  <c r="AO117" i="15" s="1"/>
  <c r="AP117" i="15" s="1"/>
  <c r="AQ117" i="15" s="1"/>
  <c r="AR117" i="15" s="1"/>
  <c r="AS117" i="15" s="1"/>
  <c r="AT117" i="15" s="1"/>
  <c r="AU117" i="15" s="1"/>
  <c r="AV117" i="15" s="1"/>
  <c r="AW117" i="15" s="1"/>
  <c r="AX117" i="15" s="1"/>
  <c r="AY117" i="15" s="1"/>
  <c r="AZ117" i="15" s="1"/>
  <c r="BA117" i="15" s="1"/>
  <c r="BB117" i="15" s="1"/>
  <c r="BC117" i="15" s="1"/>
  <c r="BD117" i="15" s="1"/>
  <c r="BE117" i="15" s="1"/>
  <c r="BF117" i="15" s="1"/>
  <c r="BG117" i="15" s="1"/>
  <c r="BH117" i="15" s="1"/>
  <c r="BI117" i="15" s="1"/>
  <c r="BJ117" i="15" s="1"/>
  <c r="M115" i="15"/>
  <c r="N75" i="15"/>
  <c r="N111" i="15" s="1"/>
  <c r="N112" i="15" s="1"/>
  <c r="H79" i="11" l="1"/>
  <c r="H86" i="30"/>
  <c r="I45" i="11" s="1"/>
  <c r="I52" i="11" s="1"/>
  <c r="I74" i="30"/>
  <c r="I76" i="30" s="1"/>
  <c r="I82" i="30" s="1"/>
  <c r="J30" i="30"/>
  <c r="J34" i="30" s="1"/>
  <c r="J79" i="30" s="1"/>
  <c r="H87" i="30"/>
  <c r="I56" i="11" s="1"/>
  <c r="I79" i="11"/>
  <c r="K29" i="30"/>
  <c r="K32" i="30" s="1"/>
  <c r="K39" i="30"/>
  <c r="K42" i="30" s="1"/>
  <c r="K45" i="30" s="1"/>
  <c r="K53" i="30"/>
  <c r="K49" i="30"/>
  <c r="J41" i="30"/>
  <c r="J37" i="30"/>
  <c r="L62" i="30"/>
  <c r="L63" i="30" s="1"/>
  <c r="L64" i="30" s="1"/>
  <c r="L50" i="30"/>
  <c r="L51" i="30"/>
  <c r="L54" i="30" s="1"/>
  <c r="L57" i="30" s="1"/>
  <c r="L68" i="30"/>
  <c r="L69" i="30" s="1"/>
  <c r="L27" i="30"/>
  <c r="K70" i="30"/>
  <c r="K71" i="30"/>
  <c r="K65" i="30"/>
  <c r="K66" i="30"/>
  <c r="I34" i="30"/>
  <c r="I79" i="30" s="1"/>
  <c r="I33" i="30"/>
  <c r="H52" i="11"/>
  <c r="K28" i="30"/>
  <c r="K31" i="30" s="1"/>
  <c r="K38" i="30"/>
  <c r="I44" i="30"/>
  <c r="I43" i="30" s="1"/>
  <c r="I86" i="30" s="1"/>
  <c r="I40" i="30"/>
  <c r="I46" i="30" s="1"/>
  <c r="I80" i="30" s="1"/>
  <c r="J72" i="30"/>
  <c r="J56" i="30"/>
  <c r="J55" i="30" s="1"/>
  <c r="J52" i="30"/>
  <c r="J58" i="30" s="1"/>
  <c r="J81" i="30" s="1"/>
  <c r="G88" i="30"/>
  <c r="J27" i="19"/>
  <c r="J28" i="19" s="1"/>
  <c r="J29" i="19" s="1"/>
  <c r="J54" i="19" s="1"/>
  <c r="J55" i="19" s="1"/>
  <c r="H56" i="19"/>
  <c r="H59" i="19" s="1"/>
  <c r="H60" i="19" s="1"/>
  <c r="H61" i="19" s="1"/>
  <c r="H67" i="19" s="1"/>
  <c r="H62" i="19"/>
  <c r="K3" i="27" s="1"/>
  <c r="K5" i="27" s="1"/>
  <c r="K10" i="27" s="1"/>
  <c r="Z146" i="15"/>
  <c r="Z147" i="15"/>
  <c r="Z90" i="15"/>
  <c r="Z111" i="15" s="1"/>
  <c r="Z112" i="15" s="1"/>
  <c r="M72" i="15"/>
  <c r="L26" i="30" s="1"/>
  <c r="M71" i="15"/>
  <c r="L25" i="30" s="1"/>
  <c r="N70" i="15"/>
  <c r="M24" i="30" s="1"/>
  <c r="AB62" i="15"/>
  <c r="AA92" i="15"/>
  <c r="AA91" i="15"/>
  <c r="AA69" i="15"/>
  <c r="R56" i="16"/>
  <c r="Q65" i="16"/>
  <c r="M41" i="27"/>
  <c r="M43" i="27" s="1"/>
  <c r="P55" i="17"/>
  <c r="O65" i="17"/>
  <c r="R26" i="27"/>
  <c r="Q28" i="27"/>
  <c r="I6" i="27"/>
  <c r="H8" i="27"/>
  <c r="L65" i="22"/>
  <c r="L53" i="22"/>
  <c r="L59" i="22" s="1"/>
  <c r="N80" i="22"/>
  <c r="O71" i="22"/>
  <c r="M47" i="22"/>
  <c r="N39" i="22"/>
  <c r="M33" i="18"/>
  <c r="N64" i="18"/>
  <c r="O55" i="18"/>
  <c r="N38" i="18"/>
  <c r="M45" i="18"/>
  <c r="M51" i="18" s="1"/>
  <c r="M44" i="17"/>
  <c r="M50" i="17" s="1"/>
  <c r="M34" i="17"/>
  <c r="N37" i="17"/>
  <c r="N44" i="17" s="1"/>
  <c r="N50" i="17" s="1"/>
  <c r="P35" i="16"/>
  <c r="M71" i="16"/>
  <c r="N48" i="16"/>
  <c r="L127" i="15"/>
  <c r="L153" i="15" s="1"/>
  <c r="L44" i="11" s="1"/>
  <c r="K21" i="19"/>
  <c r="J23" i="19"/>
  <c r="J22" i="19"/>
  <c r="I62" i="19"/>
  <c r="L3" i="27" s="1"/>
  <c r="L5" i="27" s="1"/>
  <c r="K27" i="19"/>
  <c r="K28" i="19" s="1"/>
  <c r="N122" i="15"/>
  <c r="O122" i="15" s="1"/>
  <c r="P122" i="15" s="1"/>
  <c r="Q122" i="15" s="1"/>
  <c r="R122" i="15" s="1"/>
  <c r="S122" i="15" s="1"/>
  <c r="T122" i="15" s="1"/>
  <c r="U122" i="15" s="1"/>
  <c r="V122" i="15" s="1"/>
  <c r="W122" i="15" s="1"/>
  <c r="X122" i="15" s="1"/>
  <c r="Y122" i="15" s="1"/>
  <c r="Z122" i="15" s="1"/>
  <c r="AA122" i="15" s="1"/>
  <c r="AB122" i="15" s="1"/>
  <c r="AC122" i="15" s="1"/>
  <c r="AD122" i="15" s="1"/>
  <c r="AE122" i="15" s="1"/>
  <c r="AF122" i="15" s="1"/>
  <c r="AG122" i="15" s="1"/>
  <c r="AH122" i="15" s="1"/>
  <c r="AI122" i="15" s="1"/>
  <c r="AJ122" i="15" s="1"/>
  <c r="AK122" i="15" s="1"/>
  <c r="AL122" i="15" s="1"/>
  <c r="AM122" i="15" s="1"/>
  <c r="AN122" i="15" s="1"/>
  <c r="AO122" i="15" s="1"/>
  <c r="AP122" i="15" s="1"/>
  <c r="AQ122" i="15" s="1"/>
  <c r="AR122" i="15" s="1"/>
  <c r="AS122" i="15" s="1"/>
  <c r="AT122" i="15" s="1"/>
  <c r="AU122" i="15" s="1"/>
  <c r="AV122" i="15" s="1"/>
  <c r="AW122" i="15" s="1"/>
  <c r="AX122" i="15" s="1"/>
  <c r="AY122" i="15" s="1"/>
  <c r="AZ122" i="15" s="1"/>
  <c r="BA122" i="15" s="1"/>
  <c r="BB122" i="15" s="1"/>
  <c r="BC122" i="15" s="1"/>
  <c r="BD122" i="15" s="1"/>
  <c r="BE122" i="15" s="1"/>
  <c r="BF122" i="15" s="1"/>
  <c r="BG122" i="15" s="1"/>
  <c r="BH122" i="15" s="1"/>
  <c r="BI122" i="15" s="1"/>
  <c r="BJ122" i="15" s="1"/>
  <c r="N119" i="15"/>
  <c r="O119" i="15" s="1"/>
  <c r="P119" i="15" s="1"/>
  <c r="Q119" i="15" s="1"/>
  <c r="R119" i="15" s="1"/>
  <c r="S119" i="15" s="1"/>
  <c r="T119" i="15" s="1"/>
  <c r="U119" i="15" s="1"/>
  <c r="V119" i="15" s="1"/>
  <c r="W119" i="15" s="1"/>
  <c r="X119" i="15" s="1"/>
  <c r="Y119" i="15" s="1"/>
  <c r="Z119" i="15" s="1"/>
  <c r="AA119" i="15" s="1"/>
  <c r="AB119" i="15" s="1"/>
  <c r="AC119" i="15" s="1"/>
  <c r="AD119" i="15" s="1"/>
  <c r="AE119" i="15" s="1"/>
  <c r="AF119" i="15" s="1"/>
  <c r="AG119" i="15" s="1"/>
  <c r="AH119" i="15" s="1"/>
  <c r="AI119" i="15" s="1"/>
  <c r="AJ119" i="15" s="1"/>
  <c r="AK119" i="15" s="1"/>
  <c r="AL119" i="15" s="1"/>
  <c r="AM119" i="15" s="1"/>
  <c r="AN119" i="15" s="1"/>
  <c r="AO119" i="15" s="1"/>
  <c r="AP119" i="15" s="1"/>
  <c r="AQ119" i="15" s="1"/>
  <c r="AR119" i="15" s="1"/>
  <c r="AS119" i="15" s="1"/>
  <c r="AT119" i="15" s="1"/>
  <c r="AU119" i="15" s="1"/>
  <c r="AV119" i="15" s="1"/>
  <c r="AW119" i="15" s="1"/>
  <c r="AX119" i="15" s="1"/>
  <c r="AY119" i="15" s="1"/>
  <c r="AZ119" i="15" s="1"/>
  <c r="BA119" i="15" s="1"/>
  <c r="BB119" i="15" s="1"/>
  <c r="BC119" i="15" s="1"/>
  <c r="BD119" i="15" s="1"/>
  <c r="BE119" i="15" s="1"/>
  <c r="BF119" i="15" s="1"/>
  <c r="BG119" i="15" s="1"/>
  <c r="BH119" i="15" s="1"/>
  <c r="BI119" i="15" s="1"/>
  <c r="BJ119" i="15" s="1"/>
  <c r="N120" i="15"/>
  <c r="O120" i="15" s="1"/>
  <c r="N123" i="15"/>
  <c r="O123" i="15" s="1"/>
  <c r="P123" i="15" s="1"/>
  <c r="Q123" i="15" s="1"/>
  <c r="R123" i="15" s="1"/>
  <c r="S123" i="15" s="1"/>
  <c r="T123" i="15" s="1"/>
  <c r="U123" i="15" s="1"/>
  <c r="V123" i="15" s="1"/>
  <c r="W123" i="15" s="1"/>
  <c r="X123" i="15" s="1"/>
  <c r="Y123" i="15" s="1"/>
  <c r="Z123" i="15" s="1"/>
  <c r="AA123" i="15" s="1"/>
  <c r="AB123" i="15" s="1"/>
  <c r="AC123" i="15" s="1"/>
  <c r="AD123" i="15" s="1"/>
  <c r="AE123" i="15" s="1"/>
  <c r="AF123" i="15" s="1"/>
  <c r="AG123" i="15" s="1"/>
  <c r="AH123" i="15" s="1"/>
  <c r="AI123" i="15" s="1"/>
  <c r="AJ123" i="15" s="1"/>
  <c r="AK123" i="15" s="1"/>
  <c r="AL123" i="15" s="1"/>
  <c r="AM123" i="15" s="1"/>
  <c r="AN123" i="15" s="1"/>
  <c r="AO123" i="15" s="1"/>
  <c r="AP123" i="15" s="1"/>
  <c r="AQ123" i="15" s="1"/>
  <c r="AR123" i="15" s="1"/>
  <c r="AS123" i="15" s="1"/>
  <c r="AT123" i="15" s="1"/>
  <c r="AU123" i="15" s="1"/>
  <c r="AV123" i="15" s="1"/>
  <c r="AW123" i="15" s="1"/>
  <c r="AX123" i="15" s="1"/>
  <c r="AY123" i="15" s="1"/>
  <c r="AZ123" i="15" s="1"/>
  <c r="BA123" i="15" s="1"/>
  <c r="BB123" i="15" s="1"/>
  <c r="BC123" i="15" s="1"/>
  <c r="BD123" i="15" s="1"/>
  <c r="BE123" i="15" s="1"/>
  <c r="BF123" i="15" s="1"/>
  <c r="BG123" i="15" s="1"/>
  <c r="BH123" i="15" s="1"/>
  <c r="BI123" i="15" s="1"/>
  <c r="BJ123" i="15" s="1"/>
  <c r="N121" i="15"/>
  <c r="O121" i="15" s="1"/>
  <c r="P121" i="15" s="1"/>
  <c r="Q121" i="15" s="1"/>
  <c r="R121" i="15" s="1"/>
  <c r="S121" i="15" s="1"/>
  <c r="T121" i="15" s="1"/>
  <c r="U121" i="15" s="1"/>
  <c r="V121" i="15" s="1"/>
  <c r="W121" i="15" s="1"/>
  <c r="X121" i="15" s="1"/>
  <c r="Y121" i="15" s="1"/>
  <c r="Z121" i="15" s="1"/>
  <c r="AA121" i="15" s="1"/>
  <c r="AB121" i="15" s="1"/>
  <c r="AC121" i="15" s="1"/>
  <c r="AD121" i="15" s="1"/>
  <c r="AE121" i="15" s="1"/>
  <c r="AF121" i="15" s="1"/>
  <c r="AG121" i="15" s="1"/>
  <c r="AH121" i="15" s="1"/>
  <c r="AI121" i="15" s="1"/>
  <c r="AJ121" i="15" s="1"/>
  <c r="AK121" i="15" s="1"/>
  <c r="AL121" i="15" s="1"/>
  <c r="AM121" i="15" s="1"/>
  <c r="AN121" i="15" s="1"/>
  <c r="AO121" i="15" s="1"/>
  <c r="AP121" i="15" s="1"/>
  <c r="AQ121" i="15" s="1"/>
  <c r="AR121" i="15" s="1"/>
  <c r="AS121" i="15" s="1"/>
  <c r="AT121" i="15" s="1"/>
  <c r="AU121" i="15" s="1"/>
  <c r="AV121" i="15" s="1"/>
  <c r="AW121" i="15" s="1"/>
  <c r="AX121" i="15" s="1"/>
  <c r="AY121" i="15" s="1"/>
  <c r="AZ121" i="15" s="1"/>
  <c r="BA121" i="15" s="1"/>
  <c r="BB121" i="15" s="1"/>
  <c r="BC121" i="15" s="1"/>
  <c r="BD121" i="15" s="1"/>
  <c r="BE121" i="15" s="1"/>
  <c r="BF121" i="15" s="1"/>
  <c r="BG121" i="15" s="1"/>
  <c r="BH121" i="15" s="1"/>
  <c r="BI121" i="15" s="1"/>
  <c r="BJ121" i="15" s="1"/>
  <c r="N124" i="15"/>
  <c r="O124" i="15" s="1"/>
  <c r="P124" i="15" s="1"/>
  <c r="Q124" i="15" s="1"/>
  <c r="R124" i="15" s="1"/>
  <c r="S124" i="15" s="1"/>
  <c r="T124" i="15" s="1"/>
  <c r="U124" i="15" s="1"/>
  <c r="V124" i="15" s="1"/>
  <c r="W124" i="15" s="1"/>
  <c r="X124" i="15" s="1"/>
  <c r="Y124" i="15" s="1"/>
  <c r="Z124" i="15" s="1"/>
  <c r="AA124" i="15" s="1"/>
  <c r="AB124" i="15" s="1"/>
  <c r="AC124" i="15" s="1"/>
  <c r="AD124" i="15" s="1"/>
  <c r="AE124" i="15" s="1"/>
  <c r="AF124" i="15" s="1"/>
  <c r="AG124" i="15" s="1"/>
  <c r="AH124" i="15" s="1"/>
  <c r="AI124" i="15" s="1"/>
  <c r="AJ124" i="15" s="1"/>
  <c r="AK124" i="15" s="1"/>
  <c r="AL124" i="15" s="1"/>
  <c r="AM124" i="15" s="1"/>
  <c r="AN124" i="15" s="1"/>
  <c r="AO124" i="15" s="1"/>
  <c r="AP124" i="15" s="1"/>
  <c r="AQ124" i="15" s="1"/>
  <c r="AR124" i="15" s="1"/>
  <c r="AS124" i="15" s="1"/>
  <c r="AT124" i="15" s="1"/>
  <c r="AU124" i="15" s="1"/>
  <c r="AV124" i="15" s="1"/>
  <c r="AW124" i="15" s="1"/>
  <c r="AX124" i="15" s="1"/>
  <c r="AY124" i="15" s="1"/>
  <c r="AZ124" i="15" s="1"/>
  <c r="BA124" i="15" s="1"/>
  <c r="BB124" i="15" s="1"/>
  <c r="BC124" i="15" s="1"/>
  <c r="BD124" i="15" s="1"/>
  <c r="BE124" i="15" s="1"/>
  <c r="BF124" i="15" s="1"/>
  <c r="BG124" i="15" s="1"/>
  <c r="BH124" i="15" s="1"/>
  <c r="BI124" i="15" s="1"/>
  <c r="BJ124" i="15" s="1"/>
  <c r="M125" i="15"/>
  <c r="N118" i="15"/>
  <c r="O118" i="15" s="1"/>
  <c r="P118" i="15" s="1"/>
  <c r="Q118" i="15" s="1"/>
  <c r="R118" i="15" s="1"/>
  <c r="S118" i="15" s="1"/>
  <c r="T118" i="15" s="1"/>
  <c r="U118" i="15" s="1"/>
  <c r="V118" i="15" s="1"/>
  <c r="W118" i="15" s="1"/>
  <c r="X118" i="15" s="1"/>
  <c r="Y118" i="15" s="1"/>
  <c r="Z118" i="15" s="1"/>
  <c r="AA118" i="15" s="1"/>
  <c r="AB118" i="15" s="1"/>
  <c r="AC118" i="15" s="1"/>
  <c r="AD118" i="15" s="1"/>
  <c r="AE118" i="15" s="1"/>
  <c r="AF118" i="15" s="1"/>
  <c r="AG118" i="15" s="1"/>
  <c r="AH118" i="15" s="1"/>
  <c r="AI118" i="15" s="1"/>
  <c r="AJ118" i="15" s="1"/>
  <c r="AK118" i="15" s="1"/>
  <c r="AL118" i="15" s="1"/>
  <c r="AM118" i="15" s="1"/>
  <c r="AN118" i="15" s="1"/>
  <c r="AO118" i="15" s="1"/>
  <c r="AP118" i="15" s="1"/>
  <c r="AQ118" i="15" s="1"/>
  <c r="AR118" i="15" s="1"/>
  <c r="AS118" i="15" s="1"/>
  <c r="AT118" i="15" s="1"/>
  <c r="AU118" i="15" s="1"/>
  <c r="AV118" i="15" s="1"/>
  <c r="AW118" i="15" s="1"/>
  <c r="AX118" i="15" s="1"/>
  <c r="AY118" i="15" s="1"/>
  <c r="AZ118" i="15" s="1"/>
  <c r="BA118" i="15" s="1"/>
  <c r="BB118" i="15" s="1"/>
  <c r="BC118" i="15" s="1"/>
  <c r="BD118" i="15" s="1"/>
  <c r="BE118" i="15" s="1"/>
  <c r="BF118" i="15" s="1"/>
  <c r="BG118" i="15" s="1"/>
  <c r="BH118" i="15" s="1"/>
  <c r="BI118" i="15" s="1"/>
  <c r="BJ118" i="15" s="1"/>
  <c r="N116" i="15"/>
  <c r="O116" i="15" s="1"/>
  <c r="M126" i="15"/>
  <c r="N115" i="15"/>
  <c r="O115" i="15" s="1"/>
  <c r="K30" i="30" l="1"/>
  <c r="J33" i="30"/>
  <c r="K72" i="30"/>
  <c r="K73" i="30" s="1"/>
  <c r="K75" i="30" s="1"/>
  <c r="I83" i="30"/>
  <c r="I87" i="30" s="1"/>
  <c r="J56" i="11" s="1"/>
  <c r="L71" i="30"/>
  <c r="L70" i="30"/>
  <c r="M27" i="30"/>
  <c r="M68" i="30"/>
  <c r="M69" i="30" s="1"/>
  <c r="M50" i="30"/>
  <c r="M62" i="30"/>
  <c r="M63" i="30" s="1"/>
  <c r="M64" i="30" s="1"/>
  <c r="M51" i="30"/>
  <c r="M54" i="30" s="1"/>
  <c r="M57" i="30" s="1"/>
  <c r="J45" i="11"/>
  <c r="J44" i="30"/>
  <c r="J43" i="30" s="1"/>
  <c r="J40" i="30"/>
  <c r="J46" i="30" s="1"/>
  <c r="J80" i="30" s="1"/>
  <c r="I56" i="19"/>
  <c r="I59" i="19" s="1"/>
  <c r="I60" i="19" s="1"/>
  <c r="I61" i="19" s="1"/>
  <c r="I67" i="19" s="1"/>
  <c r="L28" i="30"/>
  <c r="L31" i="30" s="1"/>
  <c r="L38" i="30"/>
  <c r="G89" i="30"/>
  <c r="H67" i="11"/>
  <c r="J74" i="30"/>
  <c r="J76" i="30" s="1"/>
  <c r="J82" i="30" s="1"/>
  <c r="J73" i="30"/>
  <c r="J75" i="30" s="1"/>
  <c r="K37" i="30"/>
  <c r="K41" i="30"/>
  <c r="L53" i="30"/>
  <c r="L49" i="30"/>
  <c r="H88" i="30"/>
  <c r="L29" i="30"/>
  <c r="L32" i="30" s="1"/>
  <c r="L39" i="30"/>
  <c r="L42" i="30" s="1"/>
  <c r="L45" i="30" s="1"/>
  <c r="K33" i="30"/>
  <c r="K34" i="30"/>
  <c r="K79" i="30" s="1"/>
  <c r="L66" i="30"/>
  <c r="L65" i="30"/>
  <c r="K56" i="30"/>
  <c r="K55" i="30" s="1"/>
  <c r="K52" i="30"/>
  <c r="K58" i="30" s="1"/>
  <c r="K81" i="30" s="1"/>
  <c r="K9" i="27"/>
  <c r="H65" i="19"/>
  <c r="K11" i="27" s="1"/>
  <c r="K13" i="27" s="1"/>
  <c r="H92" i="19"/>
  <c r="H63" i="19"/>
  <c r="AA90" i="15"/>
  <c r="AA111" i="15" s="1"/>
  <c r="AA112" i="15" s="1"/>
  <c r="AC62" i="15"/>
  <c r="AB91" i="15"/>
  <c r="AB92" i="15"/>
  <c r="AB69" i="15"/>
  <c r="AA146" i="15"/>
  <c r="AA147" i="15"/>
  <c r="O70" i="15"/>
  <c r="N24" i="30" s="1"/>
  <c r="N72" i="15"/>
  <c r="M26" i="30" s="1"/>
  <c r="N71" i="15"/>
  <c r="M25" i="30" s="1"/>
  <c r="P120" i="15"/>
  <c r="P115" i="15"/>
  <c r="P116" i="15"/>
  <c r="S56" i="16"/>
  <c r="R65" i="16"/>
  <c r="N41" i="27"/>
  <c r="N43" i="27" s="1"/>
  <c r="Q55" i="17"/>
  <c r="P65" i="17"/>
  <c r="L10" i="27"/>
  <c r="L9" i="27"/>
  <c r="S26" i="27"/>
  <c r="R28" i="27"/>
  <c r="J6" i="27"/>
  <c r="I8" i="27"/>
  <c r="M127" i="15"/>
  <c r="M153" i="15" s="1"/>
  <c r="M44" i="11" s="1"/>
  <c r="M65" i="22"/>
  <c r="M53" i="22"/>
  <c r="M59" i="22" s="1"/>
  <c r="N47" i="22"/>
  <c r="O39" i="22"/>
  <c r="P71" i="22"/>
  <c r="O80" i="22"/>
  <c r="N33" i="18"/>
  <c r="P55" i="18"/>
  <c r="O64" i="18"/>
  <c r="N45" i="18"/>
  <c r="N51" i="18" s="1"/>
  <c r="O38" i="18"/>
  <c r="O37" i="17"/>
  <c r="O44" i="17" s="1"/>
  <c r="O50" i="17" s="1"/>
  <c r="N34" i="17"/>
  <c r="Q35" i="16"/>
  <c r="O48" i="16"/>
  <c r="N71" i="16"/>
  <c r="K22" i="19"/>
  <c r="K23" i="19"/>
  <c r="L21" i="19"/>
  <c r="I65" i="19"/>
  <c r="L11" i="27" s="1"/>
  <c r="L13" i="27" s="1"/>
  <c r="I63" i="19"/>
  <c r="J62" i="19"/>
  <c r="M3" i="27" s="1"/>
  <c r="M5" i="27" s="1"/>
  <c r="L27" i="19"/>
  <c r="K29" i="19"/>
  <c r="K54" i="19" s="1"/>
  <c r="K55" i="19" s="1"/>
  <c r="N126" i="15"/>
  <c r="O126" i="15" s="1"/>
  <c r="P126" i="15" s="1"/>
  <c r="Q126" i="15" s="1"/>
  <c r="R126" i="15" s="1"/>
  <c r="S126" i="15" s="1"/>
  <c r="T126" i="15" s="1"/>
  <c r="U126" i="15" s="1"/>
  <c r="V126" i="15" s="1"/>
  <c r="W126" i="15" s="1"/>
  <c r="X126" i="15" s="1"/>
  <c r="Y126" i="15" s="1"/>
  <c r="Z126" i="15" s="1"/>
  <c r="AA126" i="15" s="1"/>
  <c r="AB126" i="15" s="1"/>
  <c r="AC126" i="15" s="1"/>
  <c r="AD126" i="15" s="1"/>
  <c r="AE126" i="15" s="1"/>
  <c r="AF126" i="15" s="1"/>
  <c r="AG126" i="15" s="1"/>
  <c r="AH126" i="15" s="1"/>
  <c r="AI126" i="15" s="1"/>
  <c r="AJ126" i="15" s="1"/>
  <c r="AK126" i="15" s="1"/>
  <c r="AL126" i="15" s="1"/>
  <c r="AM126" i="15" s="1"/>
  <c r="AN126" i="15" s="1"/>
  <c r="AO126" i="15" s="1"/>
  <c r="AP126" i="15" s="1"/>
  <c r="AQ126" i="15" s="1"/>
  <c r="AR126" i="15" s="1"/>
  <c r="AS126" i="15" s="1"/>
  <c r="AT126" i="15" s="1"/>
  <c r="AU126" i="15" s="1"/>
  <c r="AV126" i="15" s="1"/>
  <c r="AW126" i="15" s="1"/>
  <c r="AX126" i="15" s="1"/>
  <c r="AY126" i="15" s="1"/>
  <c r="AZ126" i="15" s="1"/>
  <c r="BA126" i="15" s="1"/>
  <c r="BB126" i="15" s="1"/>
  <c r="BC126" i="15" s="1"/>
  <c r="BD126" i="15" s="1"/>
  <c r="BE126" i="15" s="1"/>
  <c r="BF126" i="15" s="1"/>
  <c r="BG126" i="15" s="1"/>
  <c r="BH126" i="15" s="1"/>
  <c r="BI126" i="15" s="1"/>
  <c r="BJ126" i="15" s="1"/>
  <c r="N125" i="15"/>
  <c r="O125" i="15" s="1"/>
  <c r="P125" i="15" s="1"/>
  <c r="Q125" i="15" s="1"/>
  <c r="R125" i="15" s="1"/>
  <c r="S125" i="15" s="1"/>
  <c r="T125" i="15" s="1"/>
  <c r="U125" i="15" s="1"/>
  <c r="V125" i="15" s="1"/>
  <c r="W125" i="15" s="1"/>
  <c r="X125" i="15" s="1"/>
  <c r="Y125" i="15" s="1"/>
  <c r="Z125" i="15" s="1"/>
  <c r="AA125" i="15" s="1"/>
  <c r="AB125" i="15" s="1"/>
  <c r="AC125" i="15" s="1"/>
  <c r="AD125" i="15" s="1"/>
  <c r="AE125" i="15" s="1"/>
  <c r="AF125" i="15" s="1"/>
  <c r="AG125" i="15" s="1"/>
  <c r="AH125" i="15" s="1"/>
  <c r="AI125" i="15" s="1"/>
  <c r="AJ125" i="15" s="1"/>
  <c r="AK125" i="15" s="1"/>
  <c r="AL125" i="15" s="1"/>
  <c r="AM125" i="15" s="1"/>
  <c r="AN125" i="15" s="1"/>
  <c r="AO125" i="15" s="1"/>
  <c r="AP125" i="15" s="1"/>
  <c r="AQ125" i="15" s="1"/>
  <c r="AR125" i="15" s="1"/>
  <c r="AS125" i="15" s="1"/>
  <c r="AT125" i="15" s="1"/>
  <c r="AU125" i="15" s="1"/>
  <c r="AV125" i="15" s="1"/>
  <c r="AW125" i="15" s="1"/>
  <c r="AX125" i="15" s="1"/>
  <c r="AY125" i="15" s="1"/>
  <c r="AZ125" i="15" s="1"/>
  <c r="BA125" i="15" s="1"/>
  <c r="BB125" i="15" s="1"/>
  <c r="BC125" i="15" s="1"/>
  <c r="BD125" i="15" s="1"/>
  <c r="BE125" i="15" s="1"/>
  <c r="BF125" i="15" s="1"/>
  <c r="BG125" i="15" s="1"/>
  <c r="BH125" i="15" s="1"/>
  <c r="BI125" i="15" s="1"/>
  <c r="BJ125" i="15" s="1"/>
  <c r="J86" i="30" l="1"/>
  <c r="K45" i="11" s="1"/>
  <c r="K52" i="11" s="1"/>
  <c r="L72" i="30"/>
  <c r="L74" i="30" s="1"/>
  <c r="L76" i="30" s="1"/>
  <c r="L82" i="30" s="1"/>
  <c r="O127" i="15"/>
  <c r="O153" i="15" s="1"/>
  <c r="K74" i="30"/>
  <c r="K76" i="30" s="1"/>
  <c r="K82" i="30" s="1"/>
  <c r="J56" i="19"/>
  <c r="J59" i="19" s="1"/>
  <c r="J60" i="19" s="1"/>
  <c r="J61" i="19" s="1"/>
  <c r="J67" i="19" s="1"/>
  <c r="I92" i="19"/>
  <c r="J79" i="11"/>
  <c r="J83" i="30"/>
  <c r="J87" i="30" s="1"/>
  <c r="K56" i="11" s="1"/>
  <c r="I88" i="30"/>
  <c r="I89" i="30" s="1"/>
  <c r="L30" i="30"/>
  <c r="L33" i="30" s="1"/>
  <c r="L41" i="30"/>
  <c r="L37" i="30"/>
  <c r="M53" i="30"/>
  <c r="M49" i="30"/>
  <c r="M28" i="30"/>
  <c r="M31" i="30" s="1"/>
  <c r="M38" i="30"/>
  <c r="L56" i="30"/>
  <c r="L55" i="30" s="1"/>
  <c r="L52" i="30"/>
  <c r="L58" i="30" s="1"/>
  <c r="L81" i="30" s="1"/>
  <c r="J52" i="11"/>
  <c r="M71" i="30"/>
  <c r="M70" i="30"/>
  <c r="M29" i="30"/>
  <c r="M32" i="30" s="1"/>
  <c r="M39" i="30"/>
  <c r="M42" i="30" s="1"/>
  <c r="M45" i="30" s="1"/>
  <c r="K40" i="30"/>
  <c r="K46" i="30" s="1"/>
  <c r="K80" i="30" s="1"/>
  <c r="K83" i="30" s="1"/>
  <c r="K44" i="30"/>
  <c r="K43" i="30" s="1"/>
  <c r="K86" i="30" s="1"/>
  <c r="N27" i="30"/>
  <c r="N68" i="30"/>
  <c r="N69" i="30" s="1"/>
  <c r="N62" i="30"/>
  <c r="N63" i="30" s="1"/>
  <c r="N64" i="30" s="1"/>
  <c r="N51" i="30"/>
  <c r="N54" i="30" s="1"/>
  <c r="N57" i="30" s="1"/>
  <c r="N50" i="30"/>
  <c r="H89" i="30"/>
  <c r="I67" i="11"/>
  <c r="M66" i="30"/>
  <c r="M65" i="30"/>
  <c r="AB146" i="15"/>
  <c r="AB147" i="15"/>
  <c r="P70" i="15"/>
  <c r="O24" i="30" s="1"/>
  <c r="O72" i="15"/>
  <c r="N26" i="30" s="1"/>
  <c r="O71" i="15"/>
  <c r="N25" i="30" s="1"/>
  <c r="AB90" i="15"/>
  <c r="AB111" i="15" s="1"/>
  <c r="AB112" i="15" s="1"/>
  <c r="AD62" i="15"/>
  <c r="AC91" i="15"/>
  <c r="AC92" i="15"/>
  <c r="AC69" i="15"/>
  <c r="Q120" i="15"/>
  <c r="Q115" i="15"/>
  <c r="Q116" i="15"/>
  <c r="P127" i="15"/>
  <c r="P153" i="15" s="1"/>
  <c r="T56" i="16"/>
  <c r="S65" i="16"/>
  <c r="O41" i="27"/>
  <c r="O43" i="27" s="1"/>
  <c r="R55" i="17"/>
  <c r="Q65" i="17"/>
  <c r="M9" i="27"/>
  <c r="M10" i="27"/>
  <c r="T26" i="27"/>
  <c r="S28" i="27"/>
  <c r="K6" i="27"/>
  <c r="J8" i="27"/>
  <c r="N65" i="22"/>
  <c r="N53" i="22"/>
  <c r="N59" i="22" s="1"/>
  <c r="P80" i="22"/>
  <c r="Q71" i="22"/>
  <c r="O47" i="22"/>
  <c r="P39" i="22"/>
  <c r="O33" i="18"/>
  <c r="O45" i="18"/>
  <c r="O51" i="18" s="1"/>
  <c r="P38" i="18"/>
  <c r="P64" i="18"/>
  <c r="Q55" i="18"/>
  <c r="P37" i="17"/>
  <c r="P44" i="17" s="1"/>
  <c r="P50" i="17" s="1"/>
  <c r="O34" i="17"/>
  <c r="R35" i="16"/>
  <c r="P48" i="16"/>
  <c r="O71" i="16"/>
  <c r="L23" i="19"/>
  <c r="M21" i="19"/>
  <c r="N21" i="19" s="1"/>
  <c r="L22" i="19"/>
  <c r="J65" i="19"/>
  <c r="M11" i="27" s="1"/>
  <c r="M13" i="27" s="1"/>
  <c r="J63" i="19"/>
  <c r="K62" i="19"/>
  <c r="N3" i="27" s="1"/>
  <c r="N5" i="27" s="1"/>
  <c r="L28" i="19"/>
  <c r="L29" i="19" s="1"/>
  <c r="L54" i="19" s="1"/>
  <c r="L55" i="19" s="1"/>
  <c r="N127" i="15"/>
  <c r="J92" i="19" l="1"/>
  <c r="K56" i="19"/>
  <c r="K59" i="19" s="1"/>
  <c r="K60" i="19" s="1"/>
  <c r="K61" i="19" s="1"/>
  <c r="K67" i="19" s="1"/>
  <c r="L73" i="30"/>
  <c r="L75" i="30" s="1"/>
  <c r="J67" i="11"/>
  <c r="K79" i="11"/>
  <c r="M72" i="30"/>
  <c r="M73" i="30" s="1"/>
  <c r="M75" i="30" s="1"/>
  <c r="L34" i="30"/>
  <c r="L79" i="30" s="1"/>
  <c r="L45" i="11"/>
  <c r="K87" i="30"/>
  <c r="L56" i="11" s="1"/>
  <c r="L79" i="11"/>
  <c r="N28" i="30"/>
  <c r="N31" i="30" s="1"/>
  <c r="N38" i="30"/>
  <c r="L44" i="30"/>
  <c r="L43" i="30" s="1"/>
  <c r="L86" i="30" s="1"/>
  <c r="L40" i="30"/>
  <c r="L46" i="30" s="1"/>
  <c r="L80" i="30" s="1"/>
  <c r="N29" i="30"/>
  <c r="N32" i="30" s="1"/>
  <c r="N39" i="30"/>
  <c r="N42" i="30" s="1"/>
  <c r="N45" i="30" s="1"/>
  <c r="N66" i="30"/>
  <c r="N65" i="30"/>
  <c r="M30" i="30"/>
  <c r="N53" i="30"/>
  <c r="N49" i="30"/>
  <c r="M41" i="30"/>
  <c r="M37" i="30"/>
  <c r="O62" i="30"/>
  <c r="O63" i="30" s="1"/>
  <c r="O64" i="30" s="1"/>
  <c r="O68" i="30"/>
  <c r="O69" i="30" s="1"/>
  <c r="O27" i="30"/>
  <c r="O50" i="30"/>
  <c r="O51" i="30"/>
  <c r="O54" i="30" s="1"/>
  <c r="O57" i="30" s="1"/>
  <c r="N71" i="30"/>
  <c r="N70" i="30"/>
  <c r="M56" i="30"/>
  <c r="M55" i="30" s="1"/>
  <c r="M52" i="30"/>
  <c r="M58" i="30" s="1"/>
  <c r="M81" i="30" s="1"/>
  <c r="J88" i="30"/>
  <c r="N23" i="19"/>
  <c r="O21" i="19"/>
  <c r="N22" i="19"/>
  <c r="AC146" i="15"/>
  <c r="AC147" i="15"/>
  <c r="Q70" i="15"/>
  <c r="P24" i="30" s="1"/>
  <c r="P72" i="15"/>
  <c r="O26" i="30" s="1"/>
  <c r="P71" i="15"/>
  <c r="O25" i="30" s="1"/>
  <c r="AC90" i="15"/>
  <c r="AC111" i="15" s="1"/>
  <c r="AC112" i="15" s="1"/>
  <c r="AE62" i="15"/>
  <c r="AD92" i="15"/>
  <c r="AD91" i="15"/>
  <c r="AD90" i="15" s="1"/>
  <c r="AD111" i="15" s="1"/>
  <c r="AD69" i="15"/>
  <c r="R120" i="15"/>
  <c r="R115" i="15"/>
  <c r="R116" i="15"/>
  <c r="Q127" i="15"/>
  <c r="Q153" i="15" s="1"/>
  <c r="U56" i="16"/>
  <c r="T65" i="16"/>
  <c r="S55" i="17"/>
  <c r="R65" i="17"/>
  <c r="U26" i="27"/>
  <c r="T28" i="27"/>
  <c r="N10" i="27"/>
  <c r="N9" i="27"/>
  <c r="L6" i="27"/>
  <c r="K8" i="27"/>
  <c r="O65" i="22"/>
  <c r="O53" i="22"/>
  <c r="O59" i="22" s="1"/>
  <c r="Q80" i="22"/>
  <c r="R71" i="22"/>
  <c r="P47" i="22"/>
  <c r="Q39" i="22"/>
  <c r="P33" i="18"/>
  <c r="Q64" i="18"/>
  <c r="R55" i="18"/>
  <c r="P45" i="18"/>
  <c r="P51" i="18" s="1"/>
  <c r="Q38" i="18"/>
  <c r="Q37" i="17"/>
  <c r="Q44" i="17" s="1"/>
  <c r="Q50" i="17" s="1"/>
  <c r="P34" i="17"/>
  <c r="S35" i="16"/>
  <c r="Q48" i="16"/>
  <c r="P71" i="16"/>
  <c r="K92" i="19"/>
  <c r="N153" i="15"/>
  <c r="N44" i="11" s="1"/>
  <c r="B23" i="13"/>
  <c r="H39" i="13" s="1"/>
  <c r="M23" i="19"/>
  <c r="M22" i="19"/>
  <c r="K65" i="19"/>
  <c r="N11" i="27" s="1"/>
  <c r="N13" i="27" s="1"/>
  <c r="K63" i="19"/>
  <c r="L56" i="19"/>
  <c r="L59" i="19" s="1"/>
  <c r="L60" i="19" s="1"/>
  <c r="L61" i="19" s="1"/>
  <c r="L62" i="19"/>
  <c r="O3" i="27" s="1"/>
  <c r="O5" i="27" s="1"/>
  <c r="M27" i="19"/>
  <c r="M74" i="30" l="1"/>
  <c r="M76" i="30" s="1"/>
  <c r="M82" i="30" s="1"/>
  <c r="L83" i="30"/>
  <c r="L87" i="30" s="1"/>
  <c r="M56" i="11" s="1"/>
  <c r="N30" i="30"/>
  <c r="O28" i="30"/>
  <c r="O31" i="30" s="1"/>
  <c r="O38" i="30"/>
  <c r="M79" i="11"/>
  <c r="O29" i="30"/>
  <c r="O32" i="30" s="1"/>
  <c r="O39" i="30"/>
  <c r="O42" i="30" s="1"/>
  <c r="O45" i="30" s="1"/>
  <c r="J89" i="30"/>
  <c r="K67" i="11"/>
  <c r="O53" i="30"/>
  <c r="O49" i="30"/>
  <c r="M34" i="30"/>
  <c r="M79" i="30" s="1"/>
  <c r="M33" i="30"/>
  <c r="N41" i="30"/>
  <c r="N37" i="30"/>
  <c r="K88" i="30"/>
  <c r="M45" i="11"/>
  <c r="M52" i="11" s="1"/>
  <c r="O65" i="30"/>
  <c r="O66" i="30"/>
  <c r="M44" i="30"/>
  <c r="M43" i="30" s="1"/>
  <c r="M40" i="30"/>
  <c r="M46" i="30" s="1"/>
  <c r="M80" i="30" s="1"/>
  <c r="N34" i="30"/>
  <c r="N79" i="30" s="1"/>
  <c r="N33" i="30"/>
  <c r="L52" i="11"/>
  <c r="N56" i="30"/>
  <c r="N55" i="30" s="1"/>
  <c r="N52" i="30"/>
  <c r="N58" i="30" s="1"/>
  <c r="N81" i="30" s="1"/>
  <c r="P62" i="30"/>
  <c r="P63" i="30" s="1"/>
  <c r="P64" i="30" s="1"/>
  <c r="P27" i="30"/>
  <c r="P68" i="30"/>
  <c r="P69" i="30" s="1"/>
  <c r="P50" i="30"/>
  <c r="P51" i="30"/>
  <c r="P54" i="30" s="1"/>
  <c r="P57" i="30" s="1"/>
  <c r="N72" i="30"/>
  <c r="O71" i="30"/>
  <c r="O70" i="30"/>
  <c r="M28" i="19"/>
  <c r="M29" i="19" s="1"/>
  <c r="M54" i="19" s="1"/>
  <c r="M55" i="19" s="1"/>
  <c r="M56" i="19" s="1"/>
  <c r="P21" i="19"/>
  <c r="O23" i="19"/>
  <c r="O22" i="19"/>
  <c r="AF62" i="15"/>
  <c r="AE91" i="15"/>
  <c r="AE92" i="15"/>
  <c r="AE69" i="15"/>
  <c r="AD146" i="15"/>
  <c r="AD147" i="15"/>
  <c r="R70" i="15"/>
  <c r="Q24" i="30" s="1"/>
  <c r="Q71" i="15"/>
  <c r="P25" i="30" s="1"/>
  <c r="Q72" i="15"/>
  <c r="P26" i="30" s="1"/>
  <c r="AD112" i="15"/>
  <c r="S120" i="15"/>
  <c r="S115" i="15"/>
  <c r="S116" i="15"/>
  <c r="R127" i="15"/>
  <c r="R153" i="15" s="1"/>
  <c r="O44" i="11"/>
  <c r="H101" i="25"/>
  <c r="H103" i="25" s="1"/>
  <c r="V56" i="16"/>
  <c r="U65" i="16"/>
  <c r="T55" i="17"/>
  <c r="S65" i="17"/>
  <c r="O10" i="27"/>
  <c r="O9" i="27"/>
  <c r="P41" i="27"/>
  <c r="P43" i="27" s="1"/>
  <c r="M6" i="27"/>
  <c r="L8" i="27"/>
  <c r="V26" i="27"/>
  <c r="U28" i="27"/>
  <c r="P65" i="22"/>
  <c r="P53" i="22"/>
  <c r="P59" i="22" s="1"/>
  <c r="Q47" i="22"/>
  <c r="R39" i="22"/>
  <c r="R80" i="22"/>
  <c r="S71" i="22"/>
  <c r="Q33" i="18"/>
  <c r="R38" i="18"/>
  <c r="Q45" i="18"/>
  <c r="Q51" i="18" s="1"/>
  <c r="R64" i="18"/>
  <c r="S55" i="18"/>
  <c r="R37" i="17"/>
  <c r="R44" i="17" s="1"/>
  <c r="R50" i="17" s="1"/>
  <c r="Q34" i="17"/>
  <c r="T35" i="16"/>
  <c r="R48" i="16"/>
  <c r="Q71" i="16"/>
  <c r="L67" i="19"/>
  <c r="L92" i="19"/>
  <c r="L65" i="19"/>
  <c r="O11" i="27" s="1"/>
  <c r="O13" i="27" s="1"/>
  <c r="L63" i="19"/>
  <c r="M86" i="30" l="1"/>
  <c r="N45" i="11" s="1"/>
  <c r="M62" i="19"/>
  <c r="P3" i="27" s="1"/>
  <c r="P5" i="27" s="1"/>
  <c r="P9" i="27" s="1"/>
  <c r="M83" i="30"/>
  <c r="M87" i="30" s="1"/>
  <c r="N56" i="11" s="1"/>
  <c r="B16" i="11" s="1"/>
  <c r="I10" i="11" s="1"/>
  <c r="K89" i="30"/>
  <c r="L67" i="11"/>
  <c r="P66" i="30"/>
  <c r="P65" i="30"/>
  <c r="Q27" i="30"/>
  <c r="Q68" i="30"/>
  <c r="Q69" i="30" s="1"/>
  <c r="Q62" i="30"/>
  <c r="Q63" i="30" s="1"/>
  <c r="Q64" i="30" s="1"/>
  <c r="Q50" i="30"/>
  <c r="Q51" i="30"/>
  <c r="Q54" i="30" s="1"/>
  <c r="Q57" i="30" s="1"/>
  <c r="P49" i="30"/>
  <c r="P53" i="30"/>
  <c r="L88" i="30"/>
  <c r="N40" i="30"/>
  <c r="N46" i="30" s="1"/>
  <c r="N80" i="30" s="1"/>
  <c r="N44" i="30"/>
  <c r="N43" i="30" s="1"/>
  <c r="O56" i="30"/>
  <c r="O55" i="30" s="1"/>
  <c r="O52" i="30"/>
  <c r="O58" i="30" s="1"/>
  <c r="O81" i="30" s="1"/>
  <c r="O41" i="30"/>
  <c r="O37" i="30"/>
  <c r="P29" i="30"/>
  <c r="P32" i="30" s="1"/>
  <c r="P39" i="30"/>
  <c r="P42" i="30" s="1"/>
  <c r="P45" i="30" s="1"/>
  <c r="N73" i="30"/>
  <c r="N75" i="30" s="1"/>
  <c r="N74" i="30"/>
  <c r="N76" i="30" s="1"/>
  <c r="N82" i="30" s="1"/>
  <c r="P28" i="30"/>
  <c r="P31" i="30" s="1"/>
  <c r="P38" i="30"/>
  <c r="O72" i="30"/>
  <c r="P70" i="30"/>
  <c r="P71" i="30"/>
  <c r="O30" i="30"/>
  <c r="N27" i="19"/>
  <c r="N28" i="19" s="1"/>
  <c r="N29" i="19" s="1"/>
  <c r="P23" i="19"/>
  <c r="Q21" i="19"/>
  <c r="P22" i="19"/>
  <c r="M59" i="19"/>
  <c r="M60" i="19" s="1"/>
  <c r="M61" i="19" s="1"/>
  <c r="M67" i="19" s="1"/>
  <c r="AG62" i="15"/>
  <c r="AF91" i="15"/>
  <c r="AF90" i="15" s="1"/>
  <c r="AF111" i="15" s="1"/>
  <c r="AF92" i="15"/>
  <c r="AF69" i="15"/>
  <c r="AE146" i="15"/>
  <c r="AE147" i="15"/>
  <c r="AE90" i="15"/>
  <c r="AE111" i="15" s="1"/>
  <c r="AE112" i="15" s="1"/>
  <c r="S70" i="15"/>
  <c r="R24" i="30" s="1"/>
  <c r="R72" i="15"/>
  <c r="Q26" i="30" s="1"/>
  <c r="R71" i="15"/>
  <c r="Q25" i="30" s="1"/>
  <c r="T120" i="15"/>
  <c r="T115" i="15"/>
  <c r="T116" i="15"/>
  <c r="S127" i="15"/>
  <c r="S153" i="15" s="1"/>
  <c r="F43" i="13"/>
  <c r="H113" i="25" s="1"/>
  <c r="H115" i="25" s="1"/>
  <c r="G39" i="13"/>
  <c r="I101" i="25" s="1"/>
  <c r="I103" i="25" s="1"/>
  <c r="W56" i="16"/>
  <c r="V65" i="16"/>
  <c r="U55" i="17"/>
  <c r="T65" i="17"/>
  <c r="P44" i="11"/>
  <c r="Q41" i="27"/>
  <c r="Q43" i="27" s="1"/>
  <c r="W26" i="27"/>
  <c r="V28" i="27"/>
  <c r="N6" i="27"/>
  <c r="M8" i="27"/>
  <c r="Q65" i="22"/>
  <c r="Q53" i="22"/>
  <c r="Q59" i="22" s="1"/>
  <c r="S80" i="22"/>
  <c r="T71" i="22"/>
  <c r="R47" i="22"/>
  <c r="S39" i="22"/>
  <c r="R33" i="18"/>
  <c r="S64" i="18"/>
  <c r="T55" i="18"/>
  <c r="S38" i="18"/>
  <c r="R45" i="18"/>
  <c r="R51" i="18" s="1"/>
  <c r="S37" i="17"/>
  <c r="S44" i="17" s="1"/>
  <c r="S50" i="17" s="1"/>
  <c r="R34" i="17"/>
  <c r="U35" i="16"/>
  <c r="S48" i="16"/>
  <c r="R71" i="16"/>
  <c r="M63" i="19" l="1"/>
  <c r="M65" i="19"/>
  <c r="P11" i="27" s="1"/>
  <c r="P13" i="27" s="1"/>
  <c r="N86" i="30"/>
  <c r="O45" i="11" s="1"/>
  <c r="N83" i="30"/>
  <c r="N87" i="30" s="1"/>
  <c r="O56" i="11" s="1"/>
  <c r="P30" i="30"/>
  <c r="P34" i="30" s="1"/>
  <c r="P79" i="30" s="1"/>
  <c r="N79" i="11"/>
  <c r="B91" i="11" s="1"/>
  <c r="Q28" i="30"/>
  <c r="Q31" i="30" s="1"/>
  <c r="Q38" i="30"/>
  <c r="O74" i="30"/>
  <c r="O76" i="30" s="1"/>
  <c r="O82" i="30" s="1"/>
  <c r="O73" i="30"/>
  <c r="O75" i="30" s="1"/>
  <c r="Q70" i="30"/>
  <c r="Q71" i="30"/>
  <c r="M88" i="30"/>
  <c r="Q29" i="30"/>
  <c r="Q32" i="30" s="1"/>
  <c r="Q39" i="30"/>
  <c r="Q42" i="30" s="1"/>
  <c r="Q45" i="30" s="1"/>
  <c r="O33" i="30"/>
  <c r="O34" i="30"/>
  <c r="O79" i="30" s="1"/>
  <c r="P41" i="30"/>
  <c r="P37" i="30"/>
  <c r="O44" i="30"/>
  <c r="O43" i="30" s="1"/>
  <c r="O40" i="30"/>
  <c r="O46" i="30" s="1"/>
  <c r="O80" i="30" s="1"/>
  <c r="N52" i="11"/>
  <c r="B5" i="11"/>
  <c r="I9" i="11" s="1"/>
  <c r="R27" i="30"/>
  <c r="R51" i="30"/>
  <c r="R54" i="30" s="1"/>
  <c r="R57" i="30" s="1"/>
  <c r="R68" i="30"/>
  <c r="R69" i="30" s="1"/>
  <c r="R62" i="30"/>
  <c r="R63" i="30" s="1"/>
  <c r="R64" i="30" s="1"/>
  <c r="R50" i="30"/>
  <c r="P72" i="30"/>
  <c r="L89" i="30"/>
  <c r="M67" i="11"/>
  <c r="Q53" i="30"/>
  <c r="Q49" i="30"/>
  <c r="P56" i="30"/>
  <c r="P55" i="30" s="1"/>
  <c r="P52" i="30"/>
  <c r="P58" i="30" s="1"/>
  <c r="P81" i="30" s="1"/>
  <c r="Q66" i="30"/>
  <c r="Q65" i="30"/>
  <c r="M92" i="19"/>
  <c r="Q22" i="19"/>
  <c r="Q23" i="19"/>
  <c r="R21" i="19"/>
  <c r="O27" i="19"/>
  <c r="P10" i="27"/>
  <c r="C24" i="7"/>
  <c r="Q44" i="11"/>
  <c r="T70" i="15"/>
  <c r="S24" i="30" s="1"/>
  <c r="S72" i="15"/>
  <c r="R26" i="30" s="1"/>
  <c r="S71" i="15"/>
  <c r="R25" i="30" s="1"/>
  <c r="AF146" i="15"/>
  <c r="AF147" i="15"/>
  <c r="AF112" i="15"/>
  <c r="AH62" i="15"/>
  <c r="AG92" i="15"/>
  <c r="AG91" i="15"/>
  <c r="AG90" i="15" s="1"/>
  <c r="AG111" i="15" s="1"/>
  <c r="AG112" i="15" s="1"/>
  <c r="AG69" i="15"/>
  <c r="U120" i="15"/>
  <c r="U115" i="15"/>
  <c r="U116" i="15"/>
  <c r="T127" i="15"/>
  <c r="T153" i="15" s="1"/>
  <c r="G43" i="13"/>
  <c r="I113" i="25" s="1"/>
  <c r="I115" i="25" s="1"/>
  <c r="J101" i="25"/>
  <c r="J103" i="25" s="1"/>
  <c r="X56" i="16"/>
  <c r="W65" i="16"/>
  <c r="V55" i="17"/>
  <c r="U65" i="17"/>
  <c r="N8" i="27"/>
  <c r="O6" i="27"/>
  <c r="X26" i="27"/>
  <c r="W28" i="27"/>
  <c r="R65" i="22"/>
  <c r="R53" i="22"/>
  <c r="R59" i="22" s="1"/>
  <c r="T80" i="22"/>
  <c r="U71" i="22"/>
  <c r="S47" i="22"/>
  <c r="T39" i="22"/>
  <c r="S33" i="18"/>
  <c r="S45" i="18"/>
  <c r="S51" i="18" s="1"/>
  <c r="T38" i="18"/>
  <c r="T64" i="18"/>
  <c r="U55" i="18"/>
  <c r="T37" i="17"/>
  <c r="T44" i="17" s="1"/>
  <c r="T50" i="17" s="1"/>
  <c r="S34" i="17"/>
  <c r="V35" i="16"/>
  <c r="T48" i="16"/>
  <c r="S71" i="16"/>
  <c r="O79" i="11" l="1"/>
  <c r="Q11" i="27"/>
  <c r="P33" i="30"/>
  <c r="Q72" i="30"/>
  <c r="Q74" i="30" s="1"/>
  <c r="Q76" i="30" s="1"/>
  <c r="Q82" i="30" s="1"/>
  <c r="N88" i="30"/>
  <c r="O67" i="11" s="1"/>
  <c r="R71" i="30"/>
  <c r="R70" i="30"/>
  <c r="P44" i="30"/>
  <c r="P43" i="30" s="1"/>
  <c r="P40" i="30"/>
  <c r="P46" i="30" s="1"/>
  <c r="P80" i="30" s="1"/>
  <c r="O86" i="30"/>
  <c r="S62" i="30"/>
  <c r="S63" i="30" s="1"/>
  <c r="S64" i="30" s="1"/>
  <c r="S27" i="30"/>
  <c r="S68" i="30"/>
  <c r="S69" i="30" s="1"/>
  <c r="S50" i="30"/>
  <c r="S51" i="30"/>
  <c r="S54" i="30" s="1"/>
  <c r="S57" i="30" s="1"/>
  <c r="Q56" i="30"/>
  <c r="Q55" i="30" s="1"/>
  <c r="Q52" i="30"/>
  <c r="Q58" i="30" s="1"/>
  <c r="Q81" i="30" s="1"/>
  <c r="M89" i="30"/>
  <c r="N67" i="11"/>
  <c r="B27" i="11" s="1"/>
  <c r="O83" i="30"/>
  <c r="P73" i="30"/>
  <c r="P75" i="30" s="1"/>
  <c r="P74" i="30"/>
  <c r="P76" i="30" s="1"/>
  <c r="P82" i="30" s="1"/>
  <c r="R53" i="30"/>
  <c r="R49" i="30"/>
  <c r="O52" i="11"/>
  <c r="Q73" i="30"/>
  <c r="Q75" i="30" s="1"/>
  <c r="Q41" i="30"/>
  <c r="Q37" i="30"/>
  <c r="R29" i="30"/>
  <c r="R32" i="30" s="1"/>
  <c r="R39" i="30"/>
  <c r="R42" i="30" s="1"/>
  <c r="R45" i="30" s="1"/>
  <c r="R28" i="30"/>
  <c r="R31" i="30" s="1"/>
  <c r="R38" i="30"/>
  <c r="R66" i="30"/>
  <c r="R65" i="30"/>
  <c r="Q30" i="30"/>
  <c r="O28" i="19"/>
  <c r="O29" i="19" s="1"/>
  <c r="R23" i="19"/>
  <c r="R22" i="19"/>
  <c r="S21" i="19"/>
  <c r="R44" i="11"/>
  <c r="AI62" i="15"/>
  <c r="AH92" i="15"/>
  <c r="AH91" i="15"/>
  <c r="AH69" i="15"/>
  <c r="AG147" i="15"/>
  <c r="AG146" i="15"/>
  <c r="U70" i="15"/>
  <c r="T24" i="30" s="1"/>
  <c r="T72" i="15"/>
  <c r="S26" i="30" s="1"/>
  <c r="T71" i="15"/>
  <c r="S25" i="30" s="1"/>
  <c r="V120" i="15"/>
  <c r="V115" i="15"/>
  <c r="V116" i="15"/>
  <c r="U127" i="15"/>
  <c r="U153" i="15" s="1"/>
  <c r="H43" i="13"/>
  <c r="J113" i="25" s="1"/>
  <c r="J115" i="25" s="1"/>
  <c r="I39" i="13"/>
  <c r="K101" i="25" s="1"/>
  <c r="K103" i="25" s="1"/>
  <c r="Y56" i="16"/>
  <c r="L77" i="27"/>
  <c r="L79" i="27" s="1"/>
  <c r="G77" i="27"/>
  <c r="G79" i="27" s="1"/>
  <c r="H77" i="27"/>
  <c r="H79" i="27" s="1"/>
  <c r="I77" i="27"/>
  <c r="I79" i="27" s="1"/>
  <c r="F77" i="27"/>
  <c r="F79" i="27" s="1"/>
  <c r="M77" i="27"/>
  <c r="M79" i="27" s="1"/>
  <c r="P77" i="27"/>
  <c r="P79" i="27" s="1"/>
  <c r="O77" i="27"/>
  <c r="O79" i="27" s="1"/>
  <c r="N77" i="27"/>
  <c r="N79" i="27" s="1"/>
  <c r="E77" i="27"/>
  <c r="E79" i="27" s="1"/>
  <c r="J77" i="27"/>
  <c r="J79" i="27" s="1"/>
  <c r="K77" i="27"/>
  <c r="K79" i="27" s="1"/>
  <c r="X65" i="16"/>
  <c r="W55" i="17"/>
  <c r="V65" i="17"/>
  <c r="X28" i="27"/>
  <c r="Y26" i="27"/>
  <c r="O8" i="27"/>
  <c r="P6" i="27"/>
  <c r="R11" i="27"/>
  <c r="Q13" i="27"/>
  <c r="S65" i="22"/>
  <c r="S53" i="22"/>
  <c r="S59" i="22" s="1"/>
  <c r="T47" i="22"/>
  <c r="U39" i="22"/>
  <c r="U80" i="22"/>
  <c r="V71" i="22"/>
  <c r="T33" i="18"/>
  <c r="T45" i="18"/>
  <c r="T51" i="18" s="1"/>
  <c r="U38" i="18"/>
  <c r="V55" i="18"/>
  <c r="U64" i="18"/>
  <c r="U37" i="17"/>
  <c r="U44" i="17" s="1"/>
  <c r="U50" i="17" s="1"/>
  <c r="T34" i="17"/>
  <c r="W35" i="16"/>
  <c r="U48" i="16"/>
  <c r="T71" i="16"/>
  <c r="R30" i="30" l="1"/>
  <c r="R34" i="30" s="1"/>
  <c r="R79" i="30" s="1"/>
  <c r="P83" i="30"/>
  <c r="P87" i="30" s="1"/>
  <c r="P86" i="30"/>
  <c r="Q45" i="11" s="1"/>
  <c r="N89" i="30"/>
  <c r="Q34" i="30"/>
  <c r="Q79" i="30" s="1"/>
  <c r="Q33" i="30"/>
  <c r="Q40" i="30"/>
  <c r="Q46" i="30" s="1"/>
  <c r="Q80" i="30" s="1"/>
  <c r="Q44" i="30"/>
  <c r="Q43" i="30" s="1"/>
  <c r="S71" i="30"/>
  <c r="S70" i="30"/>
  <c r="S29" i="30"/>
  <c r="S32" i="30" s="1"/>
  <c r="S39" i="30"/>
  <c r="S42" i="30" s="1"/>
  <c r="S45" i="30" s="1"/>
  <c r="O87" i="30"/>
  <c r="P56" i="11" s="1"/>
  <c r="P79" i="11"/>
  <c r="S65" i="30"/>
  <c r="S66" i="30"/>
  <c r="R72" i="30"/>
  <c r="S28" i="30"/>
  <c r="S31" i="30" s="1"/>
  <c r="S38" i="30"/>
  <c r="T62" i="30"/>
  <c r="T63" i="30" s="1"/>
  <c r="T64" i="30" s="1"/>
  <c r="T51" i="30"/>
  <c r="T54" i="30" s="1"/>
  <c r="T57" i="30" s="1"/>
  <c r="T68" i="30"/>
  <c r="T69" i="30" s="1"/>
  <c r="T50" i="30"/>
  <c r="T27" i="30"/>
  <c r="R41" i="30"/>
  <c r="R37" i="30"/>
  <c r="R56" i="30"/>
  <c r="R55" i="30" s="1"/>
  <c r="R52" i="30"/>
  <c r="R58" i="30" s="1"/>
  <c r="R81" i="30" s="1"/>
  <c r="S53" i="30"/>
  <c r="S49" i="30"/>
  <c r="P45" i="11"/>
  <c r="P27" i="19"/>
  <c r="S23" i="19"/>
  <c r="S22" i="19"/>
  <c r="T21" i="19"/>
  <c r="S44" i="11"/>
  <c r="AH146" i="15"/>
  <c r="AH147" i="15"/>
  <c r="V70" i="15"/>
  <c r="U24" i="30" s="1"/>
  <c r="U71" i="15"/>
  <c r="T25" i="30" s="1"/>
  <c r="U72" i="15"/>
  <c r="T26" i="30" s="1"/>
  <c r="AH90" i="15"/>
  <c r="AH111" i="15" s="1"/>
  <c r="AH112" i="15" s="1"/>
  <c r="AJ62" i="15"/>
  <c r="AI91" i="15"/>
  <c r="AI92" i="15"/>
  <c r="AI69" i="15"/>
  <c r="W120" i="15"/>
  <c r="I43" i="13"/>
  <c r="K113" i="25" s="1"/>
  <c r="K115" i="25" s="1"/>
  <c r="W115" i="15"/>
  <c r="W116" i="15"/>
  <c r="V127" i="15"/>
  <c r="V153" i="15" s="1"/>
  <c r="J39" i="13"/>
  <c r="L101" i="25" s="1"/>
  <c r="L103" i="25" s="1"/>
  <c r="K80" i="27"/>
  <c r="K82" i="27" s="1"/>
  <c r="I80" i="27"/>
  <c r="I82" i="27" s="1"/>
  <c r="O80" i="27"/>
  <c r="O82" i="27" s="1"/>
  <c r="F80" i="27"/>
  <c r="F82" i="27" s="1"/>
  <c r="M80" i="27"/>
  <c r="M82" i="27" s="1"/>
  <c r="P80" i="27"/>
  <c r="P82" i="27" s="1"/>
  <c r="J80" i="27"/>
  <c r="J82" i="27" s="1"/>
  <c r="N80" i="27"/>
  <c r="N82" i="27" s="1"/>
  <c r="E80" i="27"/>
  <c r="E82" i="27" s="1"/>
  <c r="H80" i="27"/>
  <c r="H82" i="27" s="1"/>
  <c r="G80" i="27"/>
  <c r="G82" i="27" s="1"/>
  <c r="L80" i="27"/>
  <c r="L82" i="27" s="1"/>
  <c r="Z56" i="16"/>
  <c r="Y65" i="16"/>
  <c r="X55" i="17"/>
  <c r="W65" i="17"/>
  <c r="S11" i="27"/>
  <c r="R13" i="27"/>
  <c r="P8" i="27"/>
  <c r="Z26" i="27"/>
  <c r="Y28" i="27"/>
  <c r="T65" i="22"/>
  <c r="T53" i="22"/>
  <c r="T59" i="22" s="1"/>
  <c r="U47" i="22"/>
  <c r="V39" i="22"/>
  <c r="V80" i="22"/>
  <c r="W71" i="22"/>
  <c r="U33" i="18"/>
  <c r="V64" i="18"/>
  <c r="W55" i="18"/>
  <c r="V38" i="18"/>
  <c r="U45" i="18"/>
  <c r="U51" i="18" s="1"/>
  <c r="V37" i="17"/>
  <c r="V44" i="17" s="1"/>
  <c r="V50" i="17" s="1"/>
  <c r="U34" i="17"/>
  <c r="X35" i="16"/>
  <c r="V48" i="16"/>
  <c r="U71" i="16"/>
  <c r="O88" i="30" l="1"/>
  <c r="P67" i="11" s="1"/>
  <c r="Q86" i="30"/>
  <c r="R45" i="11" s="1"/>
  <c r="Q83" i="30"/>
  <c r="R79" i="11" s="1"/>
  <c r="R33" i="30"/>
  <c r="Q56" i="11"/>
  <c r="P88" i="30"/>
  <c r="P89" i="30" s="1"/>
  <c r="Q79" i="11"/>
  <c r="S72" i="30"/>
  <c r="S73" i="30" s="1"/>
  <c r="S75" i="30" s="1"/>
  <c r="T39" i="30"/>
  <c r="T42" i="30" s="1"/>
  <c r="T45" i="30" s="1"/>
  <c r="T29" i="30"/>
  <c r="T32" i="30" s="1"/>
  <c r="T70" i="30"/>
  <c r="T71" i="30"/>
  <c r="S41" i="30"/>
  <c r="S37" i="30"/>
  <c r="T28" i="30"/>
  <c r="T31" i="30" s="1"/>
  <c r="T38" i="30"/>
  <c r="S56" i="30"/>
  <c r="S55" i="30" s="1"/>
  <c r="S52" i="30"/>
  <c r="S58" i="30" s="1"/>
  <c r="S81" i="30" s="1"/>
  <c r="R44" i="30"/>
  <c r="R43" i="30" s="1"/>
  <c r="R40" i="30"/>
  <c r="R46" i="30" s="1"/>
  <c r="R80" i="30" s="1"/>
  <c r="S30" i="30"/>
  <c r="U27" i="30"/>
  <c r="U62" i="30"/>
  <c r="U63" i="30" s="1"/>
  <c r="U64" i="30" s="1"/>
  <c r="U51" i="30"/>
  <c r="U54" i="30" s="1"/>
  <c r="U57" i="30" s="1"/>
  <c r="U68" i="30"/>
  <c r="U69" i="30" s="1"/>
  <c r="U50" i="30"/>
  <c r="T66" i="30"/>
  <c r="T65" i="30"/>
  <c r="R73" i="30"/>
  <c r="R75" i="30" s="1"/>
  <c r="R74" i="30"/>
  <c r="R76" i="30" s="1"/>
  <c r="R82" i="30" s="1"/>
  <c r="T53" i="30"/>
  <c r="T49" i="30"/>
  <c r="U21" i="19"/>
  <c r="T22" i="19"/>
  <c r="T23" i="19"/>
  <c r="P28" i="19"/>
  <c r="P29" i="19" s="1"/>
  <c r="T44" i="11"/>
  <c r="AK62" i="15"/>
  <c r="AJ91" i="15"/>
  <c r="AJ92" i="15"/>
  <c r="AJ69" i="15"/>
  <c r="W70" i="15"/>
  <c r="V24" i="30" s="1"/>
  <c r="V72" i="15"/>
  <c r="U26" i="30" s="1"/>
  <c r="V71" i="15"/>
  <c r="U25" i="30" s="1"/>
  <c r="AI146" i="15"/>
  <c r="AI147" i="15"/>
  <c r="AI90" i="15"/>
  <c r="AI111" i="15" s="1"/>
  <c r="AI112" i="15" s="1"/>
  <c r="X120" i="15"/>
  <c r="X115" i="15"/>
  <c r="J43" i="13"/>
  <c r="L113" i="25" s="1"/>
  <c r="L115" i="25" s="1"/>
  <c r="K39" i="13"/>
  <c r="M101" i="25" s="1"/>
  <c r="M103" i="25" s="1"/>
  <c r="X116" i="15"/>
  <c r="W127" i="15"/>
  <c r="W153" i="15" s="1"/>
  <c r="AA56" i="16"/>
  <c r="Z65" i="16"/>
  <c r="H71" i="27"/>
  <c r="M71" i="27"/>
  <c r="G71" i="27"/>
  <c r="N71" i="27"/>
  <c r="F71" i="27"/>
  <c r="O71" i="27"/>
  <c r="J71" i="27"/>
  <c r="E71" i="27"/>
  <c r="P71" i="27"/>
  <c r="K71" i="27"/>
  <c r="L71" i="27"/>
  <c r="I71" i="27"/>
  <c r="Y55" i="17"/>
  <c r="X65" i="17"/>
  <c r="T11" i="27"/>
  <c r="S13" i="27"/>
  <c r="AA26" i="27"/>
  <c r="Z28" i="27"/>
  <c r="U65" i="22"/>
  <c r="U53" i="22"/>
  <c r="U59" i="22" s="1"/>
  <c r="W80" i="22"/>
  <c r="X71" i="22"/>
  <c r="V47" i="22"/>
  <c r="W39" i="22"/>
  <c r="V33" i="18"/>
  <c r="X55" i="18"/>
  <c r="W64" i="18"/>
  <c r="V45" i="18"/>
  <c r="V51" i="18" s="1"/>
  <c r="W38" i="18"/>
  <c r="W37" i="17"/>
  <c r="W44" i="17" s="1"/>
  <c r="W50" i="17" s="1"/>
  <c r="V34" i="17"/>
  <c r="Y35" i="16"/>
  <c r="W48" i="16"/>
  <c r="V71" i="16"/>
  <c r="O89" i="30" l="1"/>
  <c r="R86" i="30"/>
  <c r="S45" i="11" s="1"/>
  <c r="Q67" i="11"/>
  <c r="Q87" i="30"/>
  <c r="R56" i="11" s="1"/>
  <c r="T72" i="30"/>
  <c r="T73" i="30" s="1"/>
  <c r="T75" i="30" s="1"/>
  <c r="S74" i="30"/>
  <c r="S76" i="30" s="1"/>
  <c r="S82" i="30" s="1"/>
  <c r="T30" i="30"/>
  <c r="T34" i="30" s="1"/>
  <c r="T79" i="30" s="1"/>
  <c r="V27" i="30"/>
  <c r="V51" i="30"/>
  <c r="V54" i="30" s="1"/>
  <c r="V57" i="30" s="1"/>
  <c r="V62" i="30"/>
  <c r="V63" i="30" s="1"/>
  <c r="V64" i="30" s="1"/>
  <c r="V50" i="30"/>
  <c r="V68" i="30"/>
  <c r="V69" i="30" s="1"/>
  <c r="U70" i="30"/>
  <c r="U71" i="30"/>
  <c r="U28" i="30"/>
  <c r="U31" i="30" s="1"/>
  <c r="U38" i="30"/>
  <c r="R83" i="30"/>
  <c r="T37" i="30"/>
  <c r="T41" i="30"/>
  <c r="T56" i="30"/>
  <c r="T55" i="30" s="1"/>
  <c r="T52" i="30"/>
  <c r="T58" i="30" s="1"/>
  <c r="T81" i="30" s="1"/>
  <c r="U53" i="30"/>
  <c r="U49" i="30"/>
  <c r="Q88" i="30"/>
  <c r="S33" i="30"/>
  <c r="S34" i="30"/>
  <c r="S79" i="30" s="1"/>
  <c r="U29" i="30"/>
  <c r="U32" i="30" s="1"/>
  <c r="U39" i="30"/>
  <c r="U42" i="30" s="1"/>
  <c r="U45" i="30" s="1"/>
  <c r="U66" i="30"/>
  <c r="U65" i="30"/>
  <c r="S44" i="30"/>
  <c r="S43" i="30" s="1"/>
  <c r="S40" i="30"/>
  <c r="S46" i="30" s="1"/>
  <c r="S80" i="30" s="1"/>
  <c r="Q27" i="19"/>
  <c r="U23" i="19"/>
  <c r="V21" i="19"/>
  <c r="U22" i="19"/>
  <c r="U44" i="11"/>
  <c r="AJ146" i="15"/>
  <c r="AJ147" i="15"/>
  <c r="AJ90" i="15"/>
  <c r="AJ111" i="15" s="1"/>
  <c r="AJ112" i="15" s="1"/>
  <c r="X70" i="15"/>
  <c r="W24" i="30" s="1"/>
  <c r="W72" i="15"/>
  <c r="V26" i="30" s="1"/>
  <c r="W71" i="15"/>
  <c r="V25" i="30" s="1"/>
  <c r="AL62" i="15"/>
  <c r="AK91" i="15"/>
  <c r="AK92" i="15"/>
  <c r="AK69" i="15"/>
  <c r="Y120" i="15"/>
  <c r="L39" i="13"/>
  <c r="N101" i="25" s="1"/>
  <c r="N103" i="25" s="1"/>
  <c r="K43" i="13"/>
  <c r="M113" i="25" s="1"/>
  <c r="M115" i="25" s="1"/>
  <c r="Y115" i="15"/>
  <c r="Y116" i="15"/>
  <c r="X127" i="15"/>
  <c r="X153" i="15" s="1"/>
  <c r="AB56" i="16"/>
  <c r="AA65" i="16"/>
  <c r="Z55" i="17"/>
  <c r="Y65" i="17"/>
  <c r="AB26" i="27"/>
  <c r="AA28" i="27"/>
  <c r="U11" i="27"/>
  <c r="T13" i="27"/>
  <c r="V65" i="22"/>
  <c r="V53" i="22"/>
  <c r="V59" i="22" s="1"/>
  <c r="X80" i="22"/>
  <c r="Y71" i="22"/>
  <c r="W47" i="22"/>
  <c r="X39" i="22"/>
  <c r="W33" i="18"/>
  <c r="X38" i="18"/>
  <c r="W45" i="18"/>
  <c r="W51" i="18" s="1"/>
  <c r="X64" i="18"/>
  <c r="Y55" i="18"/>
  <c r="X37" i="17"/>
  <c r="X44" i="17" s="1"/>
  <c r="X50" i="17" s="1"/>
  <c r="W34" i="17"/>
  <c r="Z35" i="16"/>
  <c r="X48" i="16"/>
  <c r="W71" i="16"/>
  <c r="T74" i="30" l="1"/>
  <c r="T76" i="30" s="1"/>
  <c r="T82" i="30" s="1"/>
  <c r="S86" i="30"/>
  <c r="T45" i="11" s="1"/>
  <c r="T33" i="30"/>
  <c r="U72" i="30"/>
  <c r="U73" i="30" s="1"/>
  <c r="U75" i="30" s="1"/>
  <c r="Q28" i="19"/>
  <c r="Q29" i="19" s="1"/>
  <c r="W62" i="30"/>
  <c r="W63" i="30" s="1"/>
  <c r="W64" i="30" s="1"/>
  <c r="W68" i="30"/>
  <c r="W69" i="30" s="1"/>
  <c r="W27" i="30"/>
  <c r="W51" i="30"/>
  <c r="W54" i="30" s="1"/>
  <c r="W57" i="30" s="1"/>
  <c r="W50" i="30"/>
  <c r="S83" i="30"/>
  <c r="U56" i="30"/>
  <c r="U55" i="30" s="1"/>
  <c r="U52" i="30"/>
  <c r="U58" i="30" s="1"/>
  <c r="U81" i="30" s="1"/>
  <c r="V66" i="30"/>
  <c r="V65" i="30"/>
  <c r="R87" i="30"/>
  <c r="S79" i="11"/>
  <c r="R67" i="11"/>
  <c r="Q89" i="30"/>
  <c r="U41" i="30"/>
  <c r="U37" i="30"/>
  <c r="V71" i="30"/>
  <c r="V70" i="30"/>
  <c r="V28" i="30"/>
  <c r="V31" i="30" s="1"/>
  <c r="V38" i="30"/>
  <c r="V29" i="30"/>
  <c r="V32" i="30" s="1"/>
  <c r="V39" i="30"/>
  <c r="V42" i="30" s="1"/>
  <c r="V45" i="30" s="1"/>
  <c r="T44" i="30"/>
  <c r="T43" i="30" s="1"/>
  <c r="T40" i="30"/>
  <c r="T46" i="30" s="1"/>
  <c r="T80" i="30" s="1"/>
  <c r="T83" i="30" s="1"/>
  <c r="U30" i="30"/>
  <c r="V49" i="30"/>
  <c r="V53" i="30"/>
  <c r="V23" i="19"/>
  <c r="V22" i="19"/>
  <c r="W21" i="19"/>
  <c r="V44" i="11"/>
  <c r="AK90" i="15"/>
  <c r="AK111" i="15" s="1"/>
  <c r="AK112" i="15" s="1"/>
  <c r="Y70" i="15"/>
  <c r="X24" i="30" s="1"/>
  <c r="X72" i="15"/>
  <c r="W26" i="30" s="1"/>
  <c r="X71" i="15"/>
  <c r="W25" i="30" s="1"/>
  <c r="AM62" i="15"/>
  <c r="AL92" i="15"/>
  <c r="AL91" i="15"/>
  <c r="AL90" i="15" s="1"/>
  <c r="AL111" i="15" s="1"/>
  <c r="AL69" i="15"/>
  <c r="AK146" i="15"/>
  <c r="AK147" i="15"/>
  <c r="Z120" i="15"/>
  <c r="L43" i="13"/>
  <c r="N113" i="25" s="1"/>
  <c r="N115" i="25" s="1"/>
  <c r="M39" i="13"/>
  <c r="O101" i="25" s="1"/>
  <c r="O103" i="25" s="1"/>
  <c r="Z115" i="15"/>
  <c r="Z116" i="15"/>
  <c r="Y127" i="15"/>
  <c r="Y153" i="15" s="1"/>
  <c r="AC56" i="16"/>
  <c r="AB65" i="16"/>
  <c r="K74" i="27"/>
  <c r="K76" i="27" s="1"/>
  <c r="G74" i="27"/>
  <c r="G76" i="27" s="1"/>
  <c r="F74" i="27"/>
  <c r="F76" i="27" s="1"/>
  <c r="P74" i="27"/>
  <c r="P76" i="27" s="1"/>
  <c r="L74" i="27"/>
  <c r="L76" i="27" s="1"/>
  <c r="H74" i="27"/>
  <c r="H76" i="27" s="1"/>
  <c r="E74" i="27"/>
  <c r="E76" i="27" s="1"/>
  <c r="N74" i="27"/>
  <c r="N76" i="27" s="1"/>
  <c r="M74" i="27"/>
  <c r="M76" i="27" s="1"/>
  <c r="J74" i="27"/>
  <c r="J76" i="27" s="1"/>
  <c r="I74" i="27"/>
  <c r="I76" i="27" s="1"/>
  <c r="O74" i="27"/>
  <c r="O76" i="27" s="1"/>
  <c r="AA55" i="17"/>
  <c r="Z65" i="17"/>
  <c r="AC26" i="27"/>
  <c r="AB28" i="27"/>
  <c r="V11" i="27"/>
  <c r="U13" i="27"/>
  <c r="W65" i="22"/>
  <c r="W53" i="22"/>
  <c r="W59" i="22" s="1"/>
  <c r="X47" i="22"/>
  <c r="Y39" i="22"/>
  <c r="Y80" i="22"/>
  <c r="Z71" i="22"/>
  <c r="X33" i="18"/>
  <c r="X45" i="18"/>
  <c r="X51" i="18" s="1"/>
  <c r="Y38" i="18"/>
  <c r="Y64" i="18"/>
  <c r="Z55" i="18"/>
  <c r="Y37" i="17"/>
  <c r="Y44" i="17" s="1"/>
  <c r="Y50" i="17" s="1"/>
  <c r="X34" i="17"/>
  <c r="AA35" i="16"/>
  <c r="Y48" i="16"/>
  <c r="X71" i="16"/>
  <c r="M43" i="13"/>
  <c r="O113" i="25" s="1"/>
  <c r="O115" i="25" s="1"/>
  <c r="T86" i="30" l="1"/>
  <c r="U45" i="11" s="1"/>
  <c r="U74" i="30"/>
  <c r="U76" i="30" s="1"/>
  <c r="U82" i="30" s="1"/>
  <c r="V72" i="30"/>
  <c r="V73" i="30" s="1"/>
  <c r="V75" i="30" s="1"/>
  <c r="R27" i="19"/>
  <c r="R28" i="19" s="1"/>
  <c r="R29" i="19" s="1"/>
  <c r="V30" i="30"/>
  <c r="V34" i="30" s="1"/>
  <c r="V79" i="30" s="1"/>
  <c r="X62" i="30"/>
  <c r="X63" i="30" s="1"/>
  <c r="X64" i="30" s="1"/>
  <c r="X68" i="30"/>
  <c r="X69" i="30" s="1"/>
  <c r="X27" i="30"/>
  <c r="X51" i="30"/>
  <c r="X54" i="30" s="1"/>
  <c r="X57" i="30" s="1"/>
  <c r="X50" i="30"/>
  <c r="S56" i="11"/>
  <c r="R88" i="30"/>
  <c r="U34" i="30"/>
  <c r="U79" i="30" s="1"/>
  <c r="U33" i="30"/>
  <c r="T79" i="11"/>
  <c r="S87" i="30"/>
  <c r="W28" i="30"/>
  <c r="W31" i="30" s="1"/>
  <c r="W38" i="30"/>
  <c r="T87" i="30"/>
  <c r="U56" i="11" s="1"/>
  <c r="U79" i="11"/>
  <c r="V37" i="30"/>
  <c r="V41" i="30"/>
  <c r="W71" i="30"/>
  <c r="W70" i="30"/>
  <c r="W29" i="30"/>
  <c r="W32" i="30" s="1"/>
  <c r="W39" i="30"/>
  <c r="W42" i="30" s="1"/>
  <c r="W45" i="30" s="1"/>
  <c r="V56" i="30"/>
  <c r="V55" i="30" s="1"/>
  <c r="V52" i="30"/>
  <c r="V58" i="30" s="1"/>
  <c r="V81" i="30" s="1"/>
  <c r="U44" i="30"/>
  <c r="U43" i="30" s="1"/>
  <c r="U40" i="30"/>
  <c r="U46" i="30" s="1"/>
  <c r="U80" i="30" s="1"/>
  <c r="W53" i="30"/>
  <c r="W49" i="30"/>
  <c r="W65" i="30"/>
  <c r="W66" i="30"/>
  <c r="W22" i="19"/>
  <c r="W23" i="19"/>
  <c r="X21" i="19"/>
  <c r="N39" i="13"/>
  <c r="N43" i="13" s="1"/>
  <c r="P113" i="25" s="1"/>
  <c r="P115" i="25" s="1"/>
  <c r="W44" i="11"/>
  <c r="AL112" i="15"/>
  <c r="AL146" i="15"/>
  <c r="AL147" i="15"/>
  <c r="Z70" i="15"/>
  <c r="Y24" i="30" s="1"/>
  <c r="Y71" i="15"/>
  <c r="X25" i="30" s="1"/>
  <c r="Y72" i="15"/>
  <c r="X26" i="30" s="1"/>
  <c r="AN62" i="15"/>
  <c r="AM91" i="15"/>
  <c r="AM92" i="15"/>
  <c r="AM90" i="15" s="1"/>
  <c r="AM111" i="15" s="1"/>
  <c r="AM69" i="15"/>
  <c r="AA120" i="15"/>
  <c r="AA115" i="15"/>
  <c r="AA116" i="15"/>
  <c r="Z127" i="15"/>
  <c r="Z153" i="15" s="1"/>
  <c r="AD56" i="16"/>
  <c r="AC65" i="16"/>
  <c r="AB55" i="17"/>
  <c r="AA65" i="17"/>
  <c r="W11" i="27"/>
  <c r="V13" i="27"/>
  <c r="AD26" i="27"/>
  <c r="AC28" i="27"/>
  <c r="X65" i="22"/>
  <c r="X53" i="22"/>
  <c r="X59" i="22" s="1"/>
  <c r="AA71" i="22"/>
  <c r="Z80" i="22"/>
  <c r="Y47" i="22"/>
  <c r="Z39" i="22"/>
  <c r="Y33" i="18"/>
  <c r="Z38" i="18"/>
  <c r="Y45" i="18"/>
  <c r="Y51" i="18" s="1"/>
  <c r="AA55" i="18"/>
  <c r="Z64" i="18"/>
  <c r="Z37" i="17"/>
  <c r="Z44" i="17" s="1"/>
  <c r="Z50" i="17" s="1"/>
  <c r="Y34" i="17"/>
  <c r="AB35" i="16"/>
  <c r="Z48" i="16"/>
  <c r="Z71" i="16" s="1"/>
  <c r="Y71" i="16"/>
  <c r="V74" i="30" l="1"/>
  <c r="V76" i="30" s="1"/>
  <c r="V82" i="30" s="1"/>
  <c r="V33" i="30"/>
  <c r="S27" i="19"/>
  <c r="S28" i="19" s="1"/>
  <c r="S29" i="19" s="1"/>
  <c r="U83" i="30"/>
  <c r="U87" i="30" s="1"/>
  <c r="V56" i="11" s="1"/>
  <c r="U86" i="30"/>
  <c r="V45" i="11" s="1"/>
  <c r="W56" i="30"/>
  <c r="W55" i="30" s="1"/>
  <c r="W52" i="30"/>
  <c r="W58" i="30" s="1"/>
  <c r="W81" i="30" s="1"/>
  <c r="T56" i="11"/>
  <c r="S88" i="30"/>
  <c r="X70" i="30"/>
  <c r="X71" i="30"/>
  <c r="X29" i="30"/>
  <c r="X32" i="30" s="1"/>
  <c r="X39" i="30"/>
  <c r="X42" i="30" s="1"/>
  <c r="X45" i="30" s="1"/>
  <c r="R89" i="30"/>
  <c r="S67" i="11"/>
  <c r="X49" i="30"/>
  <c r="X53" i="30"/>
  <c r="X66" i="30"/>
  <c r="X65" i="30"/>
  <c r="X28" i="30"/>
  <c r="X31" i="30" s="1"/>
  <c r="X38" i="30"/>
  <c r="V44" i="30"/>
  <c r="V43" i="30" s="1"/>
  <c r="V40" i="30"/>
  <c r="V46" i="30" s="1"/>
  <c r="V80" i="30" s="1"/>
  <c r="W37" i="30"/>
  <c r="W41" i="30"/>
  <c r="T88" i="30"/>
  <c r="Y27" i="30"/>
  <c r="Y68" i="30"/>
  <c r="Y69" i="30" s="1"/>
  <c r="Y51" i="30"/>
  <c r="Y54" i="30" s="1"/>
  <c r="Y57" i="30" s="1"/>
  <c r="Y62" i="30"/>
  <c r="Y63" i="30" s="1"/>
  <c r="Y64" i="30" s="1"/>
  <c r="Y50" i="30"/>
  <c r="W72" i="30"/>
  <c r="W30" i="30"/>
  <c r="X23" i="19"/>
  <c r="Y21" i="19"/>
  <c r="X22" i="19"/>
  <c r="P101" i="25"/>
  <c r="P103" i="25" s="1"/>
  <c r="X44" i="11"/>
  <c r="AM112" i="15"/>
  <c r="AA70" i="15"/>
  <c r="Z24" i="30" s="1"/>
  <c r="Z72" i="15"/>
  <c r="Y26" i="30" s="1"/>
  <c r="Z71" i="15"/>
  <c r="Y25" i="30" s="1"/>
  <c r="AO62" i="15"/>
  <c r="AN91" i="15"/>
  <c r="AN92" i="15"/>
  <c r="AN69" i="15"/>
  <c r="AM146" i="15"/>
  <c r="AM147" i="15"/>
  <c r="AB120" i="15"/>
  <c r="AB115" i="15"/>
  <c r="AB116" i="15"/>
  <c r="AA127" i="15"/>
  <c r="AA153" i="15" s="1"/>
  <c r="AE56" i="16"/>
  <c r="AD65" i="16"/>
  <c r="AC55" i="17"/>
  <c r="AB65" i="17"/>
  <c r="X11" i="27"/>
  <c r="W13" i="27"/>
  <c r="AE26" i="27"/>
  <c r="AD28" i="27"/>
  <c r="Y65" i="22"/>
  <c r="Y53" i="22"/>
  <c r="Y59" i="22" s="1"/>
  <c r="AB71" i="22"/>
  <c r="AA80" i="22"/>
  <c r="AA39" i="22"/>
  <c r="Z47" i="22"/>
  <c r="Z33" i="18"/>
  <c r="AA38" i="18"/>
  <c r="Z45" i="18"/>
  <c r="Z51" i="18" s="1"/>
  <c r="AB55" i="18"/>
  <c r="AA64" i="18"/>
  <c r="AA37" i="17"/>
  <c r="AA44" i="17" s="1"/>
  <c r="AA50" i="17" s="1"/>
  <c r="Z34" i="17"/>
  <c r="AC35" i="16"/>
  <c r="AA48" i="16"/>
  <c r="AA71" i="16" s="1"/>
  <c r="V83" i="30" l="1"/>
  <c r="W79" i="11" s="1"/>
  <c r="V86" i="30"/>
  <c r="W45" i="11" s="1"/>
  <c r="V79" i="11"/>
  <c r="W74" i="30"/>
  <c r="W76" i="30" s="1"/>
  <c r="W82" i="30" s="1"/>
  <c r="W73" i="30"/>
  <c r="W75" i="30" s="1"/>
  <c r="S89" i="30"/>
  <c r="T67" i="11"/>
  <c r="Y29" i="30"/>
  <c r="Y32" i="30" s="1"/>
  <c r="Y39" i="30"/>
  <c r="Y42" i="30" s="1"/>
  <c r="Y45" i="30" s="1"/>
  <c r="Z27" i="30"/>
  <c r="Z68" i="30"/>
  <c r="Z69" i="30" s="1"/>
  <c r="Z62" i="30"/>
  <c r="Z63" i="30" s="1"/>
  <c r="Z64" i="30" s="1"/>
  <c r="Z50" i="30"/>
  <c r="Z51" i="30"/>
  <c r="Z54" i="30" s="1"/>
  <c r="Z57" i="30" s="1"/>
  <c r="Y53" i="30"/>
  <c r="Y49" i="30"/>
  <c r="X30" i="30"/>
  <c r="T27" i="19"/>
  <c r="T28" i="19" s="1"/>
  <c r="T29" i="19" s="1"/>
  <c r="Y66" i="30"/>
  <c r="Y65" i="30"/>
  <c r="U67" i="11"/>
  <c r="T89" i="30"/>
  <c r="X72" i="30"/>
  <c r="U88" i="30"/>
  <c r="Y70" i="30"/>
  <c r="Y71" i="30"/>
  <c r="Y28" i="30"/>
  <c r="Y31" i="30" s="1"/>
  <c r="Y38" i="30"/>
  <c r="W33" i="30"/>
  <c r="W34" i="30"/>
  <c r="W79" i="30" s="1"/>
  <c r="W40" i="30"/>
  <c r="W46" i="30" s="1"/>
  <c r="W80" i="30" s="1"/>
  <c r="W44" i="30"/>
  <c r="W43" i="30" s="1"/>
  <c r="X41" i="30"/>
  <c r="X37" i="30"/>
  <c r="X56" i="30"/>
  <c r="X55" i="30" s="1"/>
  <c r="X52" i="30"/>
  <c r="X58" i="30" s="1"/>
  <c r="X81" i="30" s="1"/>
  <c r="O81" i="11"/>
  <c r="Z21" i="19"/>
  <c r="Y22" i="19"/>
  <c r="Y23" i="19"/>
  <c r="Y44" i="11"/>
  <c r="AP62" i="15"/>
  <c r="AO91" i="15"/>
  <c r="AO92" i="15"/>
  <c r="AO69" i="15"/>
  <c r="AN146" i="15"/>
  <c r="AN147" i="15"/>
  <c r="AN90" i="15"/>
  <c r="AN111" i="15" s="1"/>
  <c r="AN112" i="15" s="1"/>
  <c r="AB70" i="15"/>
  <c r="AA24" i="30" s="1"/>
  <c r="AA72" i="15"/>
  <c r="Z26" i="30" s="1"/>
  <c r="AA71" i="15"/>
  <c r="Z25" i="30" s="1"/>
  <c r="AC120" i="15"/>
  <c r="AC115" i="15"/>
  <c r="AC116" i="15"/>
  <c r="AB127" i="15"/>
  <c r="AB153" i="15" s="1"/>
  <c r="AF56" i="16"/>
  <c r="AE65" i="16"/>
  <c r="AD55" i="17"/>
  <c r="H110" i="27"/>
  <c r="H112" i="27" s="1"/>
  <c r="L110" i="27"/>
  <c r="L112" i="27" s="1"/>
  <c r="K110" i="27"/>
  <c r="K112" i="27" s="1"/>
  <c r="I110" i="27"/>
  <c r="I112" i="27" s="1"/>
  <c r="M110" i="27"/>
  <c r="M112" i="27" s="1"/>
  <c r="G110" i="27"/>
  <c r="G112" i="27" s="1"/>
  <c r="F110" i="27"/>
  <c r="F112" i="27" s="1"/>
  <c r="J110" i="27"/>
  <c r="J112" i="27" s="1"/>
  <c r="E110" i="27"/>
  <c r="E112" i="27" s="1"/>
  <c r="AC65" i="17"/>
  <c r="AE28" i="27"/>
  <c r="AF26" i="27"/>
  <c r="Y11" i="27"/>
  <c r="X13" i="27"/>
  <c r="Z65" i="22"/>
  <c r="Z53" i="22"/>
  <c r="Z59" i="22" s="1"/>
  <c r="AA47" i="22"/>
  <c r="AB39" i="22"/>
  <c r="AB80" i="22"/>
  <c r="AC71" i="22"/>
  <c r="AA33" i="18"/>
  <c r="AB64" i="18"/>
  <c r="AC55" i="18"/>
  <c r="AA45" i="18"/>
  <c r="AA51" i="18" s="1"/>
  <c r="AB38" i="18"/>
  <c r="AB37" i="17"/>
  <c r="AB44" i="17" s="1"/>
  <c r="AB50" i="17" s="1"/>
  <c r="AA34" i="17"/>
  <c r="AD35" i="16"/>
  <c r="AB48" i="16"/>
  <c r="AB71" i="16" s="1"/>
  <c r="V87" i="30" l="1"/>
  <c r="Y30" i="30"/>
  <c r="Y33" i="30" s="1"/>
  <c r="Y72" i="30"/>
  <c r="Y73" i="30" s="1"/>
  <c r="Y75" i="30" s="1"/>
  <c r="Z28" i="30"/>
  <c r="Z31" i="30" s="1"/>
  <c r="Z38" i="30"/>
  <c r="Z29" i="30"/>
  <c r="Z32" i="30" s="1"/>
  <c r="Z39" i="30"/>
  <c r="Z42" i="30" s="1"/>
  <c r="Z45" i="30" s="1"/>
  <c r="Y41" i="30"/>
  <c r="Y37" i="30"/>
  <c r="U89" i="30"/>
  <c r="V67" i="11"/>
  <c r="Z66" i="30"/>
  <c r="Z65" i="30"/>
  <c r="W86" i="30"/>
  <c r="AA62" i="30"/>
  <c r="AA63" i="30" s="1"/>
  <c r="AA64" i="30" s="1"/>
  <c r="AA27" i="30"/>
  <c r="AA50" i="30"/>
  <c r="AA51" i="30"/>
  <c r="AA54" i="30" s="1"/>
  <c r="AA57" i="30" s="1"/>
  <c r="AA68" i="30"/>
  <c r="AA69" i="30" s="1"/>
  <c r="X73" i="30"/>
  <c r="X75" i="30" s="1"/>
  <c r="X74" i="30"/>
  <c r="X76" i="30" s="1"/>
  <c r="X82" i="30" s="1"/>
  <c r="Y56" i="30"/>
  <c r="Y55" i="30" s="1"/>
  <c r="Y52" i="30"/>
  <c r="Y58" i="30" s="1"/>
  <c r="Y81" i="30" s="1"/>
  <c r="Z71" i="30"/>
  <c r="Z70" i="30"/>
  <c r="W83" i="30"/>
  <c r="X44" i="30"/>
  <c r="X43" i="30" s="1"/>
  <c r="X40" i="30"/>
  <c r="X46" i="30" s="1"/>
  <c r="X80" i="30" s="1"/>
  <c r="X33" i="30"/>
  <c r="X34" i="30"/>
  <c r="X79" i="30" s="1"/>
  <c r="Z49" i="30"/>
  <c r="Z53" i="30"/>
  <c r="Z23" i="19"/>
  <c r="Z22" i="19"/>
  <c r="AA21" i="19"/>
  <c r="U27" i="19"/>
  <c r="Z44" i="11"/>
  <c r="AC70" i="15"/>
  <c r="AB24" i="30" s="1"/>
  <c r="AB72" i="15"/>
  <c r="AA26" i="30" s="1"/>
  <c r="AB71" i="15"/>
  <c r="AA25" i="30" s="1"/>
  <c r="AO146" i="15"/>
  <c r="AO147" i="15"/>
  <c r="AO90" i="15"/>
  <c r="AO111" i="15" s="1"/>
  <c r="AO112" i="15" s="1"/>
  <c r="AQ62" i="15"/>
  <c r="AP92" i="15"/>
  <c r="AP91" i="15"/>
  <c r="AP90" i="15" s="1"/>
  <c r="AP111" i="15" s="1"/>
  <c r="AP69" i="15"/>
  <c r="AD120" i="15"/>
  <c r="AD115" i="15"/>
  <c r="AD116" i="15"/>
  <c r="AC127" i="15"/>
  <c r="AC153" i="15" s="1"/>
  <c r="W176" i="27"/>
  <c r="W178" i="27" s="1"/>
  <c r="S176" i="27"/>
  <c r="S178" i="27" s="1"/>
  <c r="AA176" i="27"/>
  <c r="AA178" i="27" s="1"/>
  <c r="M176" i="27"/>
  <c r="M178" i="27" s="1"/>
  <c r="I176" i="27"/>
  <c r="I178" i="27" s="1"/>
  <c r="P176" i="27"/>
  <c r="P178" i="27" s="1"/>
  <c r="K176" i="27"/>
  <c r="K178" i="27" s="1"/>
  <c r="J176" i="27"/>
  <c r="J178" i="27" s="1"/>
  <c r="E176" i="27"/>
  <c r="E178" i="27" s="1"/>
  <c r="U176" i="27"/>
  <c r="U178" i="27" s="1"/>
  <c r="AB176" i="27"/>
  <c r="AB178" i="27" s="1"/>
  <c r="L176" i="27"/>
  <c r="L178" i="27" s="1"/>
  <c r="G176" i="27"/>
  <c r="G178" i="27" s="1"/>
  <c r="F176" i="27"/>
  <c r="F178" i="27" s="1"/>
  <c r="X176" i="27"/>
  <c r="X178" i="27" s="1"/>
  <c r="H176" i="27"/>
  <c r="H178" i="27" s="1"/>
  <c r="R176" i="27"/>
  <c r="R178" i="27" s="1"/>
  <c r="V176" i="27"/>
  <c r="V178" i="27" s="1"/>
  <c r="N176" i="27"/>
  <c r="N178" i="27" s="1"/>
  <c r="Y176" i="27"/>
  <c r="Y178" i="27" s="1"/>
  <c r="O176" i="27"/>
  <c r="O178" i="27" s="1"/>
  <c r="Z176" i="27"/>
  <c r="Z178" i="27" s="1"/>
  <c r="AC176" i="27"/>
  <c r="AC178" i="27" s="1"/>
  <c r="Q176" i="27"/>
  <c r="Q178" i="27" s="1"/>
  <c r="T176" i="27"/>
  <c r="T178" i="27" s="1"/>
  <c r="AG56" i="16"/>
  <c r="AF65" i="16"/>
  <c r="I143" i="27"/>
  <c r="I145" i="27" s="1"/>
  <c r="M143" i="27"/>
  <c r="M145" i="27" s="1"/>
  <c r="Q143" i="27"/>
  <c r="Q145" i="27" s="1"/>
  <c r="U143" i="27"/>
  <c r="U145" i="27" s="1"/>
  <c r="S143" i="27"/>
  <c r="S145" i="27" s="1"/>
  <c r="F143" i="27"/>
  <c r="F145" i="27" s="1"/>
  <c r="J143" i="27"/>
  <c r="J145" i="27" s="1"/>
  <c r="N143" i="27"/>
  <c r="N145" i="27" s="1"/>
  <c r="R143" i="27"/>
  <c r="R145" i="27" s="1"/>
  <c r="E143" i="27"/>
  <c r="E145" i="27" s="1"/>
  <c r="L143" i="27"/>
  <c r="L145" i="27" s="1"/>
  <c r="T143" i="27"/>
  <c r="T145" i="27" s="1"/>
  <c r="G143" i="27"/>
  <c r="G145" i="27" s="1"/>
  <c r="K143" i="27"/>
  <c r="K145" i="27" s="1"/>
  <c r="O143" i="27"/>
  <c r="O145" i="27" s="1"/>
  <c r="H143" i="27"/>
  <c r="H145" i="27" s="1"/>
  <c r="P143" i="27"/>
  <c r="P145" i="27" s="1"/>
  <c r="F113" i="27"/>
  <c r="F115" i="27" s="1"/>
  <c r="J113" i="27"/>
  <c r="J115" i="27" s="1"/>
  <c r="E113" i="27"/>
  <c r="E115" i="27" s="1"/>
  <c r="I113" i="27"/>
  <c r="I115" i="27" s="1"/>
  <c r="G113" i="27"/>
  <c r="G115" i="27" s="1"/>
  <c r="K113" i="27"/>
  <c r="K115" i="27" s="1"/>
  <c r="H113" i="27"/>
  <c r="H115" i="27" s="1"/>
  <c r="L113" i="27"/>
  <c r="L115" i="27" s="1"/>
  <c r="M113" i="27"/>
  <c r="M115" i="27" s="1"/>
  <c r="AE55" i="17"/>
  <c r="AD65" i="17"/>
  <c r="Z11" i="27"/>
  <c r="Y13" i="27"/>
  <c r="AG26" i="27"/>
  <c r="AF28" i="27"/>
  <c r="AA65" i="22"/>
  <c r="AA53" i="22"/>
  <c r="AA59" i="22" s="1"/>
  <c r="AC80" i="22"/>
  <c r="AD71" i="22"/>
  <c r="AB47" i="22"/>
  <c r="AC39" i="22"/>
  <c r="AB33" i="18"/>
  <c r="AC64" i="18"/>
  <c r="AD55" i="18"/>
  <c r="AB45" i="18"/>
  <c r="AB51" i="18" s="1"/>
  <c r="AC38" i="18"/>
  <c r="AC37" i="17"/>
  <c r="AB34" i="17"/>
  <c r="AE35" i="16"/>
  <c r="AC48" i="16"/>
  <c r="AC71" i="16" s="1"/>
  <c r="Y74" i="30" l="1"/>
  <c r="Y76" i="30" s="1"/>
  <c r="Y82" i="30" s="1"/>
  <c r="Y34" i="30"/>
  <c r="Y79" i="30" s="1"/>
  <c r="W56" i="11"/>
  <c r="V88" i="30"/>
  <c r="Z72" i="30"/>
  <c r="Z74" i="30" s="1"/>
  <c r="Z76" i="30" s="1"/>
  <c r="Z82" i="30" s="1"/>
  <c r="X83" i="30"/>
  <c r="X87" i="30" s="1"/>
  <c r="Y56" i="11" s="1"/>
  <c r="Z30" i="30"/>
  <c r="Z33" i="30" s="1"/>
  <c r="AA28" i="30"/>
  <c r="AA31" i="30" s="1"/>
  <c r="AA38" i="30"/>
  <c r="Z56" i="30"/>
  <c r="Z55" i="30" s="1"/>
  <c r="Z52" i="30"/>
  <c r="Z58" i="30" s="1"/>
  <c r="Z81" i="30" s="1"/>
  <c r="X86" i="30"/>
  <c r="X45" i="11"/>
  <c r="AA29" i="30"/>
  <c r="AA32" i="30" s="1"/>
  <c r="AA39" i="30"/>
  <c r="AA42" i="30" s="1"/>
  <c r="AA45" i="30" s="1"/>
  <c r="AA53" i="30"/>
  <c r="AA49" i="30"/>
  <c r="AB62" i="30"/>
  <c r="AB63" i="30" s="1"/>
  <c r="AB64" i="30" s="1"/>
  <c r="AB27" i="30"/>
  <c r="AB50" i="30"/>
  <c r="AB68" i="30"/>
  <c r="AB69" i="30" s="1"/>
  <c r="AB51" i="30"/>
  <c r="AB54" i="30" s="1"/>
  <c r="AB57" i="30" s="1"/>
  <c r="W87" i="30"/>
  <c r="X56" i="11" s="1"/>
  <c r="X79" i="11"/>
  <c r="Y44" i="30"/>
  <c r="Y43" i="30" s="1"/>
  <c r="Y86" i="30" s="1"/>
  <c r="Y40" i="30"/>
  <c r="Y46" i="30" s="1"/>
  <c r="Y80" i="30" s="1"/>
  <c r="Z41" i="30"/>
  <c r="Z37" i="30"/>
  <c r="Z73" i="30"/>
  <c r="Z75" i="30" s="1"/>
  <c r="AA70" i="30"/>
  <c r="AA71" i="30"/>
  <c r="AA65" i="30"/>
  <c r="AA66" i="30"/>
  <c r="Z34" i="30"/>
  <c r="Z79" i="30" s="1"/>
  <c r="U28" i="19"/>
  <c r="U29" i="19" s="1"/>
  <c r="AB21" i="19"/>
  <c r="AA22" i="19"/>
  <c r="AA23" i="19"/>
  <c r="AA44" i="11"/>
  <c r="AP146" i="15"/>
  <c r="AP147" i="15"/>
  <c r="AR62" i="15"/>
  <c r="AQ92" i="15"/>
  <c r="AQ91" i="15"/>
  <c r="AQ69" i="15"/>
  <c r="AP112" i="15"/>
  <c r="AD70" i="15"/>
  <c r="AC24" i="30" s="1"/>
  <c r="AC71" i="15"/>
  <c r="AB25" i="30" s="1"/>
  <c r="AC72" i="15"/>
  <c r="AB26" i="30" s="1"/>
  <c r="AE120" i="15"/>
  <c r="AE115" i="15"/>
  <c r="AE116" i="15"/>
  <c r="AD127" i="15"/>
  <c r="AD153" i="15" s="1"/>
  <c r="T179" i="27"/>
  <c r="T181" i="27" s="1"/>
  <c r="Z179" i="27"/>
  <c r="Z181" i="27" s="1"/>
  <c r="J179" i="27"/>
  <c r="J181" i="27" s="1"/>
  <c r="I179" i="27"/>
  <c r="I181" i="27" s="1"/>
  <c r="H179" i="27"/>
  <c r="H181" i="27" s="1"/>
  <c r="AC179" i="27"/>
  <c r="AC181" i="27" s="1"/>
  <c r="S179" i="27"/>
  <c r="S181" i="27" s="1"/>
  <c r="V179" i="27"/>
  <c r="V181" i="27" s="1"/>
  <c r="F179" i="27"/>
  <c r="F181" i="27" s="1"/>
  <c r="G179" i="27"/>
  <c r="G181" i="27" s="1"/>
  <c r="K179" i="27"/>
  <c r="K181" i="27" s="1"/>
  <c r="W179" i="27"/>
  <c r="W181" i="27" s="1"/>
  <c r="R179" i="27"/>
  <c r="R181" i="27" s="1"/>
  <c r="P179" i="27"/>
  <c r="P181" i="27" s="1"/>
  <c r="U179" i="27"/>
  <c r="U181" i="27" s="1"/>
  <c r="O179" i="27"/>
  <c r="O181" i="27" s="1"/>
  <c r="Y179" i="27"/>
  <c r="Y181" i="27" s="1"/>
  <c r="AB179" i="27"/>
  <c r="AB181" i="27" s="1"/>
  <c r="AA179" i="27"/>
  <c r="AA181" i="27" s="1"/>
  <c r="E179" i="27"/>
  <c r="E181" i="27" s="1"/>
  <c r="Q179" i="27"/>
  <c r="Q181" i="27" s="1"/>
  <c r="X179" i="27"/>
  <c r="X181" i="27" s="1"/>
  <c r="N179" i="27"/>
  <c r="N181" i="27" s="1"/>
  <c r="M179" i="27"/>
  <c r="M181" i="27" s="1"/>
  <c r="L179" i="27"/>
  <c r="L181" i="27" s="1"/>
  <c r="AH56" i="16"/>
  <c r="AG65" i="16"/>
  <c r="F146" i="27"/>
  <c r="F148" i="27" s="1"/>
  <c r="J146" i="27"/>
  <c r="J148" i="27" s="1"/>
  <c r="N146" i="27"/>
  <c r="N148" i="27" s="1"/>
  <c r="R146" i="27"/>
  <c r="R148" i="27" s="1"/>
  <c r="E146" i="27"/>
  <c r="E148" i="27" s="1"/>
  <c r="G146" i="27"/>
  <c r="G148" i="27" s="1"/>
  <c r="K146" i="27"/>
  <c r="K148" i="27" s="1"/>
  <c r="O146" i="27"/>
  <c r="O148" i="27" s="1"/>
  <c r="S146" i="27"/>
  <c r="S148" i="27" s="1"/>
  <c r="I146" i="27"/>
  <c r="I148" i="27" s="1"/>
  <c r="U146" i="27"/>
  <c r="U148" i="27" s="1"/>
  <c r="H146" i="27"/>
  <c r="H148" i="27" s="1"/>
  <c r="L146" i="27"/>
  <c r="L148" i="27" s="1"/>
  <c r="P146" i="27"/>
  <c r="P148" i="27" s="1"/>
  <c r="T146" i="27"/>
  <c r="T148" i="27" s="1"/>
  <c r="M146" i="27"/>
  <c r="M148" i="27" s="1"/>
  <c r="Q146" i="27"/>
  <c r="Q148" i="27" s="1"/>
  <c r="G137" i="27"/>
  <c r="K137" i="27"/>
  <c r="O137" i="27"/>
  <c r="S137" i="27"/>
  <c r="H137" i="27"/>
  <c r="L137" i="27"/>
  <c r="P137" i="27"/>
  <c r="T137" i="27"/>
  <c r="U137" i="27"/>
  <c r="J137" i="27"/>
  <c r="E137" i="27"/>
  <c r="I137" i="27"/>
  <c r="M137" i="27"/>
  <c r="Q137" i="27"/>
  <c r="F137" i="27"/>
  <c r="N137" i="27"/>
  <c r="R137" i="27"/>
  <c r="AF55" i="17"/>
  <c r="AE65" i="17"/>
  <c r="F104" i="27"/>
  <c r="J104" i="27"/>
  <c r="E104" i="27"/>
  <c r="G104" i="27"/>
  <c r="K104" i="27"/>
  <c r="I104" i="27"/>
  <c r="H104" i="27"/>
  <c r="L104" i="27"/>
  <c r="M104" i="27"/>
  <c r="AC44" i="17"/>
  <c r="AC50" i="17" s="1"/>
  <c r="AA11" i="27"/>
  <c r="Z13" i="27"/>
  <c r="AH26" i="27"/>
  <c r="AG28" i="27"/>
  <c r="AB65" i="22"/>
  <c r="AB53" i="22"/>
  <c r="AB59" i="22" s="1"/>
  <c r="AD39" i="22"/>
  <c r="AC47" i="22"/>
  <c r="AD80" i="22"/>
  <c r="AE71" i="22"/>
  <c r="AC33" i="18"/>
  <c r="AD38" i="18"/>
  <c r="AC45" i="18"/>
  <c r="AC51" i="18" s="1"/>
  <c r="AD64" i="18"/>
  <c r="AE55" i="18"/>
  <c r="AD37" i="17"/>
  <c r="AD44" i="17" s="1"/>
  <c r="AD50" i="17" s="1"/>
  <c r="AC34" i="17"/>
  <c r="AF35" i="16"/>
  <c r="AD48" i="16"/>
  <c r="AD71" i="16" s="1"/>
  <c r="W67" i="11" l="1"/>
  <c r="V89" i="30"/>
  <c r="Y83" i="30"/>
  <c r="Z79" i="11" s="1"/>
  <c r="AA72" i="30"/>
  <c r="AA73" i="30" s="1"/>
  <c r="AA75" i="30" s="1"/>
  <c r="Y79" i="11"/>
  <c r="Z45" i="11"/>
  <c r="AB29" i="30"/>
  <c r="AB32" i="30" s="1"/>
  <c r="AB39" i="30"/>
  <c r="AB42" i="30" s="1"/>
  <c r="AB45" i="30" s="1"/>
  <c r="AB66" i="30"/>
  <c r="AB65" i="30"/>
  <c r="Y45" i="11"/>
  <c r="X88" i="30"/>
  <c r="AA41" i="30"/>
  <c r="AA37" i="30"/>
  <c r="AB28" i="30"/>
  <c r="AB31" i="30" s="1"/>
  <c r="AB38" i="30"/>
  <c r="AB70" i="30"/>
  <c r="AB71" i="30"/>
  <c r="AA30" i="30"/>
  <c r="AC27" i="30"/>
  <c r="AC50" i="30"/>
  <c r="AC68" i="30"/>
  <c r="AC69" i="30" s="1"/>
  <c r="AC51" i="30"/>
  <c r="AC54" i="30" s="1"/>
  <c r="AC57" i="30" s="1"/>
  <c r="AC62" i="30"/>
  <c r="AC63" i="30" s="1"/>
  <c r="AC64" i="30" s="1"/>
  <c r="AB49" i="30"/>
  <c r="AB53" i="30"/>
  <c r="AA56" i="30"/>
  <c r="AA55" i="30" s="1"/>
  <c r="AA52" i="30"/>
  <c r="AA58" i="30" s="1"/>
  <c r="AA81" i="30" s="1"/>
  <c r="Z44" i="30"/>
  <c r="Z43" i="30" s="1"/>
  <c r="Z86" i="30" s="1"/>
  <c r="Z40" i="30"/>
  <c r="Z46" i="30" s="1"/>
  <c r="Z80" i="30" s="1"/>
  <c r="Z83" i="30" s="1"/>
  <c r="W88" i="30"/>
  <c r="V27" i="19"/>
  <c r="AC21" i="19"/>
  <c r="AB23" i="19"/>
  <c r="AB22" i="19"/>
  <c r="AB44" i="11"/>
  <c r="AQ90" i="15"/>
  <c r="AQ111" i="15" s="1"/>
  <c r="AQ112" i="15" s="1"/>
  <c r="AE70" i="15"/>
  <c r="AD24" i="30" s="1"/>
  <c r="AD71" i="15"/>
  <c r="AC25" i="30" s="1"/>
  <c r="AD72" i="15"/>
  <c r="AC26" i="30" s="1"/>
  <c r="AS62" i="15"/>
  <c r="AR91" i="15"/>
  <c r="AR92" i="15"/>
  <c r="AR69" i="15"/>
  <c r="AQ146" i="15"/>
  <c r="AQ147" i="15"/>
  <c r="AF120" i="15"/>
  <c r="AF115" i="15"/>
  <c r="AF116" i="15"/>
  <c r="AE127" i="15"/>
  <c r="AE153" i="15" s="1"/>
  <c r="AI56" i="16"/>
  <c r="AH65" i="16"/>
  <c r="H140" i="27"/>
  <c r="H142" i="27" s="1"/>
  <c r="L140" i="27"/>
  <c r="L142" i="27" s="1"/>
  <c r="P140" i="27"/>
  <c r="P142" i="27" s="1"/>
  <c r="T140" i="27"/>
  <c r="T142" i="27" s="1"/>
  <c r="I140" i="27"/>
  <c r="I142" i="27" s="1"/>
  <c r="M140" i="27"/>
  <c r="M142" i="27" s="1"/>
  <c r="Q140" i="27"/>
  <c r="Q142" i="27" s="1"/>
  <c r="U140" i="27"/>
  <c r="U142" i="27" s="1"/>
  <c r="F140" i="27"/>
  <c r="F142" i="27" s="1"/>
  <c r="K140" i="27"/>
  <c r="K142" i="27" s="1"/>
  <c r="S140" i="27"/>
  <c r="S142" i="27" s="1"/>
  <c r="J140" i="27"/>
  <c r="J142" i="27" s="1"/>
  <c r="N140" i="27"/>
  <c r="N142" i="27" s="1"/>
  <c r="R140" i="27"/>
  <c r="R142" i="27" s="1"/>
  <c r="E140" i="27"/>
  <c r="E142" i="27" s="1"/>
  <c r="G140" i="27"/>
  <c r="G142" i="27" s="1"/>
  <c r="O140" i="27"/>
  <c r="O142" i="27" s="1"/>
  <c r="G107" i="27"/>
  <c r="G109" i="27" s="1"/>
  <c r="K107" i="27"/>
  <c r="K109" i="27" s="1"/>
  <c r="E107" i="27"/>
  <c r="E109" i="27" s="1"/>
  <c r="H107" i="27"/>
  <c r="H109" i="27" s="1"/>
  <c r="L107" i="27"/>
  <c r="L109" i="27" s="1"/>
  <c r="J107" i="27"/>
  <c r="J109" i="27" s="1"/>
  <c r="I107" i="27"/>
  <c r="I109" i="27" s="1"/>
  <c r="M107" i="27"/>
  <c r="M109" i="27" s="1"/>
  <c r="F107" i="27"/>
  <c r="F109" i="27" s="1"/>
  <c r="AG55" i="17"/>
  <c r="AF65" i="17"/>
  <c r="AI26" i="27"/>
  <c r="AH28" i="27"/>
  <c r="AB11" i="27"/>
  <c r="AA13" i="27"/>
  <c r="AC65" i="22"/>
  <c r="AC53" i="22"/>
  <c r="AC59" i="22" s="1"/>
  <c r="AE80" i="22"/>
  <c r="AF71" i="22"/>
  <c r="AD47" i="22"/>
  <c r="AE39" i="22"/>
  <c r="AD33" i="18"/>
  <c r="AF55" i="18"/>
  <c r="AE64" i="18"/>
  <c r="AD45" i="18"/>
  <c r="AD51" i="18" s="1"/>
  <c r="AE38" i="18"/>
  <c r="AE37" i="17"/>
  <c r="AE44" i="17" s="1"/>
  <c r="AE50" i="17" s="1"/>
  <c r="AD34" i="17"/>
  <c r="AG35" i="16"/>
  <c r="AE48" i="16"/>
  <c r="AE71" i="16" s="1"/>
  <c r="Y87" i="30" l="1"/>
  <c r="Z56" i="11" s="1"/>
  <c r="C16" i="11" s="1"/>
  <c r="J10" i="11" s="1"/>
  <c r="AA74" i="30"/>
  <c r="AA76" i="30" s="1"/>
  <c r="AA82" i="30" s="1"/>
  <c r="C91" i="11"/>
  <c r="AB72" i="30"/>
  <c r="AB74" i="30" s="1"/>
  <c r="AB76" i="30" s="1"/>
  <c r="AB82" i="30" s="1"/>
  <c r="AA45" i="11"/>
  <c r="AA79" i="11"/>
  <c r="Z87" i="30"/>
  <c r="AA56" i="11" s="1"/>
  <c r="AC29" i="30"/>
  <c r="AC32" i="30" s="1"/>
  <c r="AC39" i="30"/>
  <c r="AC42" i="30" s="1"/>
  <c r="AC45" i="30" s="1"/>
  <c r="AB56" i="30"/>
  <c r="AB55" i="30" s="1"/>
  <c r="AB52" i="30"/>
  <c r="AB58" i="30" s="1"/>
  <c r="AB81" i="30" s="1"/>
  <c r="AC53" i="30"/>
  <c r="AC49" i="30"/>
  <c r="AC28" i="30"/>
  <c r="AC31" i="30" s="1"/>
  <c r="AC38" i="30"/>
  <c r="AC66" i="30"/>
  <c r="AC65" i="30"/>
  <c r="AA44" i="30"/>
  <c r="AA43" i="30" s="1"/>
  <c r="AA40" i="30"/>
  <c r="AA46" i="30" s="1"/>
  <c r="AA80" i="30" s="1"/>
  <c r="AD27" i="30"/>
  <c r="AD62" i="30"/>
  <c r="AD63" i="30" s="1"/>
  <c r="AD64" i="30" s="1"/>
  <c r="AD68" i="30"/>
  <c r="AD69" i="30" s="1"/>
  <c r="AD50" i="30"/>
  <c r="AD51" i="30"/>
  <c r="AD54" i="30" s="1"/>
  <c r="AD57" i="30" s="1"/>
  <c r="AA33" i="30"/>
  <c r="AA34" i="30"/>
  <c r="AA79" i="30" s="1"/>
  <c r="AB41" i="30"/>
  <c r="AB37" i="30"/>
  <c r="Y67" i="11"/>
  <c r="X89" i="30"/>
  <c r="Y88" i="30"/>
  <c r="W89" i="30"/>
  <c r="X67" i="11"/>
  <c r="AC70" i="30"/>
  <c r="AC71" i="30"/>
  <c r="AB30" i="30"/>
  <c r="C5" i="11"/>
  <c r="J9" i="11" s="1"/>
  <c r="J11" i="11" s="1"/>
  <c r="V28" i="19"/>
  <c r="V29" i="19" s="1"/>
  <c r="AC23" i="19"/>
  <c r="AD21" i="19"/>
  <c r="AC22" i="19"/>
  <c r="AC44" i="11"/>
  <c r="AT62" i="15"/>
  <c r="AS91" i="15"/>
  <c r="AS92" i="15"/>
  <c r="AS69" i="15"/>
  <c r="AR146" i="15"/>
  <c r="AR147" i="15"/>
  <c r="AR90" i="15"/>
  <c r="AR111" i="15" s="1"/>
  <c r="AR112" i="15" s="1"/>
  <c r="AF70" i="15"/>
  <c r="AE24" i="30" s="1"/>
  <c r="AE72" i="15"/>
  <c r="AD26" i="30" s="1"/>
  <c r="AE71" i="15"/>
  <c r="AD25" i="30" s="1"/>
  <c r="AG120" i="15"/>
  <c r="AG115" i="15"/>
  <c r="AG116" i="15"/>
  <c r="AF127" i="15"/>
  <c r="AF153" i="15" s="1"/>
  <c r="W173" i="27"/>
  <c r="W175" i="27" s="1"/>
  <c r="Y170" i="27"/>
  <c r="U170" i="27"/>
  <c r="K173" i="27"/>
  <c r="K175" i="27" s="1"/>
  <c r="AB170" i="27"/>
  <c r="L170" i="27"/>
  <c r="V173" i="27"/>
  <c r="V175" i="27" s="1"/>
  <c r="F173" i="27"/>
  <c r="F175" i="27" s="1"/>
  <c r="W170" i="27"/>
  <c r="G170" i="27"/>
  <c r="Q173" i="27"/>
  <c r="Q175" i="27" s="1"/>
  <c r="R170" i="27"/>
  <c r="AB173" i="27"/>
  <c r="AB175" i="27" s="1"/>
  <c r="L173" i="27"/>
  <c r="L175" i="27" s="1"/>
  <c r="G173" i="27"/>
  <c r="G175" i="27" s="1"/>
  <c r="I170" i="27"/>
  <c r="E173" i="27"/>
  <c r="E175" i="27" s="1"/>
  <c r="X170" i="27"/>
  <c r="H170" i="27"/>
  <c r="R173" i="27"/>
  <c r="R175" i="27" s="1"/>
  <c r="S170" i="27"/>
  <c r="AC173" i="27"/>
  <c r="AC175" i="27" s="1"/>
  <c r="N170" i="27"/>
  <c r="X173" i="27"/>
  <c r="X175" i="27" s="1"/>
  <c r="Q170" i="27"/>
  <c r="O170" i="27"/>
  <c r="I173" i="27"/>
  <c r="I175" i="27" s="1"/>
  <c r="Z170" i="27"/>
  <c r="U173" i="27"/>
  <c r="U175" i="27" s="1"/>
  <c r="V170" i="27"/>
  <c r="M173" i="27"/>
  <c r="M175" i="27" s="1"/>
  <c r="H173" i="27"/>
  <c r="H175" i="27" s="1"/>
  <c r="T170" i="27"/>
  <c r="Y173" i="27"/>
  <c r="Y175" i="27" s="1"/>
  <c r="J170" i="27"/>
  <c r="M170" i="27"/>
  <c r="P170" i="27"/>
  <c r="J173" i="27"/>
  <c r="J175" i="27" s="1"/>
  <c r="AA170" i="27"/>
  <c r="F170" i="27"/>
  <c r="AC170" i="27"/>
  <c r="S173" i="27"/>
  <c r="S175" i="27" s="1"/>
  <c r="O173" i="27"/>
  <c r="O175" i="27" s="1"/>
  <c r="N173" i="27"/>
  <c r="N175" i="27" s="1"/>
  <c r="E170" i="27"/>
  <c r="T173" i="27"/>
  <c r="T175" i="27" s="1"/>
  <c r="AA173" i="27"/>
  <c r="AA175" i="27" s="1"/>
  <c r="Z173" i="27"/>
  <c r="Z175" i="27" s="1"/>
  <c r="K170" i="27"/>
  <c r="P173" i="27"/>
  <c r="P175" i="27" s="1"/>
  <c r="AJ56" i="16"/>
  <c r="AI65" i="16"/>
  <c r="AH55" i="17"/>
  <c r="AG65" i="17"/>
  <c r="AJ26" i="27"/>
  <c r="AI28" i="27"/>
  <c r="AC11" i="27"/>
  <c r="AB13" i="27"/>
  <c r="AD65" i="22"/>
  <c r="AD53" i="22"/>
  <c r="AD59" i="22" s="1"/>
  <c r="AF80" i="22"/>
  <c r="AG71" i="22"/>
  <c r="AE47" i="22"/>
  <c r="AF39" i="22"/>
  <c r="AE33" i="18"/>
  <c r="AF64" i="18"/>
  <c r="AG55" i="18"/>
  <c r="AE45" i="18"/>
  <c r="AE51" i="18" s="1"/>
  <c r="AF38" i="18"/>
  <c r="AF37" i="17"/>
  <c r="AF44" i="17" s="1"/>
  <c r="AF50" i="17" s="1"/>
  <c r="AE34" i="17"/>
  <c r="AH35" i="16"/>
  <c r="AF48" i="16"/>
  <c r="AF71" i="16" s="1"/>
  <c r="AA86" i="30" l="1"/>
  <c r="AB45" i="11" s="1"/>
  <c r="AC30" i="30"/>
  <c r="AC33" i="30" s="1"/>
  <c r="AB73" i="30"/>
  <c r="AB75" i="30" s="1"/>
  <c r="AA83" i="30"/>
  <c r="AA87" i="30" s="1"/>
  <c r="AB56" i="11" s="1"/>
  <c r="Z88" i="30"/>
  <c r="Z89" i="30" s="1"/>
  <c r="AB44" i="30"/>
  <c r="AB43" i="30" s="1"/>
  <c r="AB40" i="30"/>
  <c r="AB46" i="30" s="1"/>
  <c r="AB80" i="30" s="1"/>
  <c r="AD53" i="30"/>
  <c r="AD49" i="30"/>
  <c r="AC41" i="30"/>
  <c r="AC37" i="30"/>
  <c r="AD28" i="30"/>
  <c r="AD31" i="30" s="1"/>
  <c r="AD38" i="30"/>
  <c r="AD71" i="30"/>
  <c r="AD70" i="30"/>
  <c r="AC34" i="30"/>
  <c r="AC79" i="30" s="1"/>
  <c r="AD29" i="30"/>
  <c r="AD32" i="30" s="1"/>
  <c r="AD39" i="30"/>
  <c r="AD42" i="30" s="1"/>
  <c r="AD45" i="30" s="1"/>
  <c r="AC72" i="30"/>
  <c r="AD66" i="30"/>
  <c r="AD65" i="30"/>
  <c r="AE62" i="30"/>
  <c r="AE63" i="30" s="1"/>
  <c r="AE64" i="30" s="1"/>
  <c r="AE51" i="30"/>
  <c r="AE54" i="30" s="1"/>
  <c r="AE57" i="30" s="1"/>
  <c r="AE68" i="30"/>
  <c r="AE69" i="30" s="1"/>
  <c r="AE27" i="30"/>
  <c r="AE50" i="30"/>
  <c r="AB34" i="30"/>
  <c r="AB79" i="30" s="1"/>
  <c r="AB33" i="30"/>
  <c r="Y89" i="30"/>
  <c r="B92" i="30" s="1"/>
  <c r="Z67" i="11"/>
  <c r="C27" i="11" s="1"/>
  <c r="AC56" i="30"/>
  <c r="AC55" i="30" s="1"/>
  <c r="AC52" i="30"/>
  <c r="AC58" i="30" s="1"/>
  <c r="AC81" i="30" s="1"/>
  <c r="W27" i="19"/>
  <c r="W28" i="19" s="1"/>
  <c r="AD23" i="19"/>
  <c r="AD22" i="19"/>
  <c r="AE21" i="19"/>
  <c r="AD44" i="11"/>
  <c r="AS90" i="15"/>
  <c r="AS111" i="15" s="1"/>
  <c r="AS112" i="15" s="1"/>
  <c r="AS146" i="15"/>
  <c r="AS147" i="15"/>
  <c r="AG70" i="15"/>
  <c r="AF24" i="30" s="1"/>
  <c r="AF71" i="15"/>
  <c r="AE25" i="30" s="1"/>
  <c r="AF72" i="15"/>
  <c r="AE26" i="30" s="1"/>
  <c r="AU62" i="15"/>
  <c r="AT92" i="15"/>
  <c r="AT91" i="15"/>
  <c r="AT90" i="15" s="1"/>
  <c r="AT111" i="15" s="1"/>
  <c r="AT69" i="15"/>
  <c r="AH120" i="15"/>
  <c r="AH115" i="15"/>
  <c r="AH116" i="15"/>
  <c r="AG127" i="15"/>
  <c r="AG153" i="15" s="1"/>
  <c r="AK56" i="16"/>
  <c r="AJ65" i="16"/>
  <c r="AI55" i="17"/>
  <c r="AH65" i="17"/>
  <c r="AD11" i="27"/>
  <c r="AC13" i="27"/>
  <c r="AK26" i="27"/>
  <c r="AJ28" i="27"/>
  <c r="AE65" i="22"/>
  <c r="AE53" i="22"/>
  <c r="AE59" i="22" s="1"/>
  <c r="AF47" i="22"/>
  <c r="AG39" i="22"/>
  <c r="AG80" i="22"/>
  <c r="AH71" i="22"/>
  <c r="AF33" i="18"/>
  <c r="AG64" i="18"/>
  <c r="AH55" i="18"/>
  <c r="AF45" i="18"/>
  <c r="AF51" i="18" s="1"/>
  <c r="AG38" i="18"/>
  <c r="AG37" i="17"/>
  <c r="AG44" i="17" s="1"/>
  <c r="AG50" i="17" s="1"/>
  <c r="AF34" i="17"/>
  <c r="AI35" i="16"/>
  <c r="AG48" i="16"/>
  <c r="AG71" i="16" s="1"/>
  <c r="AA67" i="11" l="1"/>
  <c r="AB83" i="30"/>
  <c r="AC79" i="11" s="1"/>
  <c r="AB79" i="11"/>
  <c r="AB86" i="30"/>
  <c r="AC45" i="11" s="1"/>
  <c r="AD30" i="30"/>
  <c r="AD33" i="30" s="1"/>
  <c r="AE29" i="30"/>
  <c r="AE32" i="30" s="1"/>
  <c r="AE39" i="30"/>
  <c r="AE42" i="30" s="1"/>
  <c r="AE45" i="30" s="1"/>
  <c r="AF62" i="30"/>
  <c r="AF63" i="30" s="1"/>
  <c r="AF64" i="30" s="1"/>
  <c r="AF51" i="30"/>
  <c r="AF54" i="30" s="1"/>
  <c r="AF57" i="30" s="1"/>
  <c r="AF68" i="30"/>
  <c r="AF69" i="30" s="1"/>
  <c r="AF27" i="30"/>
  <c r="AF50" i="30"/>
  <c r="AE53" i="30"/>
  <c r="AE49" i="30"/>
  <c r="AE65" i="30"/>
  <c r="AE66" i="30"/>
  <c r="AD72" i="30"/>
  <c r="AD37" i="30"/>
  <c r="AD41" i="30"/>
  <c r="AC74" i="30"/>
  <c r="AC76" i="30" s="1"/>
  <c r="AC82" i="30" s="1"/>
  <c r="AC73" i="30"/>
  <c r="AC75" i="30" s="1"/>
  <c r="AC44" i="30"/>
  <c r="AC43" i="30" s="1"/>
  <c r="AC40" i="30"/>
  <c r="AC46" i="30" s="1"/>
  <c r="AC80" i="30" s="1"/>
  <c r="AE70" i="30"/>
  <c r="AE71" i="30"/>
  <c r="AA88" i="30"/>
  <c r="AE28" i="30"/>
  <c r="AE31" i="30" s="1"/>
  <c r="AE38" i="30"/>
  <c r="AD56" i="30"/>
  <c r="AD55" i="30" s="1"/>
  <c r="AD52" i="30"/>
  <c r="AD58" i="30" s="1"/>
  <c r="AD81" i="30" s="1"/>
  <c r="W29" i="19"/>
  <c r="X27" i="19"/>
  <c r="X28" i="19" s="1"/>
  <c r="X29" i="19" s="1"/>
  <c r="AF21" i="19"/>
  <c r="AE23" i="19"/>
  <c r="AE22" i="19"/>
  <c r="AE44" i="11"/>
  <c r="AV62" i="15"/>
  <c r="AU91" i="15"/>
  <c r="AU92" i="15"/>
  <c r="AU69" i="15"/>
  <c r="AH70" i="15"/>
  <c r="AG24" i="30" s="1"/>
  <c r="AG71" i="15"/>
  <c r="AF25" i="30" s="1"/>
  <c r="AG72" i="15"/>
  <c r="AF26" i="30" s="1"/>
  <c r="AT146" i="15"/>
  <c r="AT147" i="15"/>
  <c r="AT112" i="15"/>
  <c r="AI120" i="15"/>
  <c r="AI115" i="15"/>
  <c r="AI116" i="15"/>
  <c r="AH127" i="15"/>
  <c r="AH153" i="15" s="1"/>
  <c r="AL56" i="16"/>
  <c r="AK65" i="16"/>
  <c r="AJ55" i="17"/>
  <c r="AI65" i="17"/>
  <c r="AL26" i="27"/>
  <c r="AK28" i="27"/>
  <c r="AD13" i="27"/>
  <c r="AE11" i="27"/>
  <c r="AF65" i="22"/>
  <c r="AF53" i="22"/>
  <c r="AF59" i="22" s="1"/>
  <c r="AH80" i="22"/>
  <c r="AI71" i="22"/>
  <c r="AG47" i="22"/>
  <c r="AH39" i="22"/>
  <c r="AG33" i="18"/>
  <c r="AH38" i="18"/>
  <c r="AG45" i="18"/>
  <c r="AG51" i="18" s="1"/>
  <c r="AH64" i="18"/>
  <c r="AI55" i="18"/>
  <c r="AH37" i="17"/>
  <c r="AH44" i="17" s="1"/>
  <c r="AH50" i="17" s="1"/>
  <c r="AG34" i="17"/>
  <c r="AJ35" i="16"/>
  <c r="AH48" i="16"/>
  <c r="AH71" i="16" s="1"/>
  <c r="AB87" i="30" l="1"/>
  <c r="AC56" i="11" s="1"/>
  <c r="AD34" i="30"/>
  <c r="AD79" i="30" s="1"/>
  <c r="AE30" i="30"/>
  <c r="AE34" i="30" s="1"/>
  <c r="AE79" i="30" s="1"/>
  <c r="AE72" i="30"/>
  <c r="AE74" i="30" s="1"/>
  <c r="AE76" i="30" s="1"/>
  <c r="AE82" i="30" s="1"/>
  <c r="AC83" i="30"/>
  <c r="AD79" i="11" s="1"/>
  <c r="AE41" i="30"/>
  <c r="AE37" i="30"/>
  <c r="AF53" i="30"/>
  <c r="AF49" i="30"/>
  <c r="AF66" i="30"/>
  <c r="AF65" i="30"/>
  <c r="AD44" i="30"/>
  <c r="AD43" i="30" s="1"/>
  <c r="AD40" i="30"/>
  <c r="AD46" i="30" s="1"/>
  <c r="AD80" i="30" s="1"/>
  <c r="AF39" i="30"/>
  <c r="AF42" i="30" s="1"/>
  <c r="AF45" i="30" s="1"/>
  <c r="AF29" i="30"/>
  <c r="AF32" i="30" s="1"/>
  <c r="AA89" i="30"/>
  <c r="AB67" i="11"/>
  <c r="AF71" i="30"/>
  <c r="AF70" i="30"/>
  <c r="AG27" i="30"/>
  <c r="AG68" i="30"/>
  <c r="AG69" i="30" s="1"/>
  <c r="AG62" i="30"/>
  <c r="AG63" i="30" s="1"/>
  <c r="AG64" i="30" s="1"/>
  <c r="AG50" i="30"/>
  <c r="AG51" i="30"/>
  <c r="AG54" i="30" s="1"/>
  <c r="AG57" i="30" s="1"/>
  <c r="AF28" i="30"/>
  <c r="AF31" i="30" s="1"/>
  <c r="AF38" i="30"/>
  <c r="AC86" i="30"/>
  <c r="AD73" i="30"/>
  <c r="AD75" i="30" s="1"/>
  <c r="AD74" i="30"/>
  <c r="AD76" i="30" s="1"/>
  <c r="AD82" i="30" s="1"/>
  <c r="AE56" i="30"/>
  <c r="AE55" i="30" s="1"/>
  <c r="AE52" i="30"/>
  <c r="AE58" i="30" s="1"/>
  <c r="AE81" i="30" s="1"/>
  <c r="Y27" i="19"/>
  <c r="Y28" i="19" s="1"/>
  <c r="Y29" i="19" s="1"/>
  <c r="AF23" i="19"/>
  <c r="AF22" i="19"/>
  <c r="AG21" i="19"/>
  <c r="AF44" i="11"/>
  <c r="AU90" i="15"/>
  <c r="AU111" i="15" s="1"/>
  <c r="AU112" i="15" s="1"/>
  <c r="AU146" i="15"/>
  <c r="AU147" i="15"/>
  <c r="AI70" i="15"/>
  <c r="AH24" i="30" s="1"/>
  <c r="AH71" i="15"/>
  <c r="AG25" i="30" s="1"/>
  <c r="AH72" i="15"/>
  <c r="AG26" i="30" s="1"/>
  <c r="AW62" i="15"/>
  <c r="AV91" i="15"/>
  <c r="AV92" i="15"/>
  <c r="AV69" i="15"/>
  <c r="AJ120" i="15"/>
  <c r="AJ115" i="15"/>
  <c r="AJ116" i="15"/>
  <c r="AI127" i="15"/>
  <c r="AI153" i="15" s="1"/>
  <c r="AM56" i="16"/>
  <c r="AL65" i="16"/>
  <c r="AJ65" i="17"/>
  <c r="AK55" i="17"/>
  <c r="AF11" i="27"/>
  <c r="AE13" i="27"/>
  <c r="AM26" i="27"/>
  <c r="AL28" i="27"/>
  <c r="AG65" i="22"/>
  <c r="AG53" i="22"/>
  <c r="AG59" i="22" s="1"/>
  <c r="AI80" i="22"/>
  <c r="AJ71" i="22"/>
  <c r="AH47" i="22"/>
  <c r="AI39" i="22"/>
  <c r="AH33" i="18"/>
  <c r="AI64" i="18"/>
  <c r="AJ55" i="18"/>
  <c r="AI38" i="18"/>
  <c r="AH45" i="18"/>
  <c r="AH51" i="18" s="1"/>
  <c r="AI37" i="17"/>
  <c r="AI44" i="17" s="1"/>
  <c r="AI50" i="17" s="1"/>
  <c r="AH34" i="17"/>
  <c r="AK35" i="16"/>
  <c r="AI48" i="16"/>
  <c r="AI71" i="16" s="1"/>
  <c r="AB88" i="30" l="1"/>
  <c r="AE33" i="30"/>
  <c r="AE73" i="30"/>
  <c r="AE75" i="30" s="1"/>
  <c r="AC87" i="30"/>
  <c r="AD56" i="11" s="1"/>
  <c r="AD86" i="30"/>
  <c r="AE45" i="11" s="1"/>
  <c r="AH27" i="30"/>
  <c r="AH62" i="30"/>
  <c r="AH63" i="30" s="1"/>
  <c r="AH64" i="30" s="1"/>
  <c r="AH51" i="30"/>
  <c r="AH54" i="30" s="1"/>
  <c r="AH57" i="30" s="1"/>
  <c r="AH50" i="30"/>
  <c r="AH68" i="30"/>
  <c r="AH69" i="30" s="1"/>
  <c r="AG28" i="30"/>
  <c r="AG31" i="30" s="1"/>
  <c r="AG38" i="30"/>
  <c r="AG70" i="30"/>
  <c r="AG71" i="30"/>
  <c r="AF72" i="30"/>
  <c r="AD83" i="30"/>
  <c r="AF56" i="30"/>
  <c r="AF55" i="30" s="1"/>
  <c r="AF52" i="30"/>
  <c r="AF58" i="30" s="1"/>
  <c r="AF81" i="30" s="1"/>
  <c r="AE40" i="30"/>
  <c r="AE46" i="30" s="1"/>
  <c r="AE80" i="30" s="1"/>
  <c r="AE83" i="30" s="1"/>
  <c r="AE44" i="30"/>
  <c r="AE43" i="30" s="1"/>
  <c r="AD45" i="11"/>
  <c r="AG53" i="30"/>
  <c r="AG49" i="30"/>
  <c r="AC67" i="11"/>
  <c r="AB89" i="30"/>
  <c r="AG29" i="30"/>
  <c r="AG32" i="30" s="1"/>
  <c r="AG39" i="30"/>
  <c r="AG42" i="30" s="1"/>
  <c r="AG45" i="30" s="1"/>
  <c r="AF41" i="30"/>
  <c r="AF37" i="30"/>
  <c r="AG66" i="30"/>
  <c r="AG65" i="30"/>
  <c r="AF30" i="30"/>
  <c r="AG23" i="19"/>
  <c r="AH21" i="19"/>
  <c r="AG22" i="19"/>
  <c r="Z27" i="19"/>
  <c r="AG44" i="11"/>
  <c r="AV90" i="15"/>
  <c r="AV111" i="15" s="1"/>
  <c r="AV112" i="15" s="1"/>
  <c r="AV146" i="15"/>
  <c r="AV147" i="15"/>
  <c r="AJ70" i="15"/>
  <c r="AI24" i="30" s="1"/>
  <c r="AI71" i="15"/>
  <c r="AH25" i="30" s="1"/>
  <c r="AI72" i="15"/>
  <c r="AH26" i="30" s="1"/>
  <c r="AX62" i="15"/>
  <c r="AW92" i="15"/>
  <c r="AW91" i="15"/>
  <c r="AW90" i="15" s="1"/>
  <c r="AW111" i="15" s="1"/>
  <c r="AW112" i="15" s="1"/>
  <c r="AW69" i="15"/>
  <c r="AK120" i="15"/>
  <c r="AK115" i="15"/>
  <c r="AK116" i="15"/>
  <c r="AJ127" i="15"/>
  <c r="AJ153" i="15" s="1"/>
  <c r="AN56" i="16"/>
  <c r="AM65" i="16"/>
  <c r="AL55" i="17"/>
  <c r="AK65" i="17"/>
  <c r="AN26" i="27"/>
  <c r="AM28" i="27"/>
  <c r="AG11" i="27"/>
  <c r="AF13" i="27"/>
  <c r="AH65" i="22"/>
  <c r="AH53" i="22"/>
  <c r="AH59" i="22" s="1"/>
  <c r="AJ80" i="22"/>
  <c r="AK71" i="22"/>
  <c r="AI47" i="22"/>
  <c r="AJ39" i="22"/>
  <c r="AI33" i="18"/>
  <c r="AI45" i="18"/>
  <c r="AI51" i="18" s="1"/>
  <c r="AJ38" i="18"/>
  <c r="AJ64" i="18"/>
  <c r="AK55" i="18"/>
  <c r="AJ37" i="17"/>
  <c r="AJ44" i="17" s="1"/>
  <c r="AJ50" i="17" s="1"/>
  <c r="AI34" i="17"/>
  <c r="AL35" i="16"/>
  <c r="AJ48" i="16"/>
  <c r="AJ71" i="16" s="1"/>
  <c r="AE86" i="30" l="1"/>
  <c r="AF45" i="11" s="1"/>
  <c r="AC88" i="30"/>
  <c r="AD67" i="11" s="1"/>
  <c r="AH29" i="30"/>
  <c r="AH32" i="30" s="1"/>
  <c r="AH39" i="30"/>
  <c r="AH42" i="30" s="1"/>
  <c r="AH45" i="30" s="1"/>
  <c r="AH28" i="30"/>
  <c r="AH31" i="30" s="1"/>
  <c r="AH38" i="30"/>
  <c r="AF34" i="30"/>
  <c r="AF79" i="30" s="1"/>
  <c r="AF33" i="30"/>
  <c r="AF44" i="30"/>
  <c r="AF43" i="30" s="1"/>
  <c r="AF40" i="30"/>
  <c r="AF46" i="30" s="1"/>
  <c r="AF80" i="30" s="1"/>
  <c r="AE87" i="30"/>
  <c r="AF56" i="11" s="1"/>
  <c r="AF79" i="11"/>
  <c r="AG56" i="30"/>
  <c r="AG55" i="30" s="1"/>
  <c r="AG52" i="30"/>
  <c r="AG58" i="30" s="1"/>
  <c r="AG81" i="30" s="1"/>
  <c r="AF74" i="30"/>
  <c r="AF76" i="30" s="1"/>
  <c r="AF82" i="30" s="1"/>
  <c r="AF73" i="30"/>
  <c r="AF75" i="30" s="1"/>
  <c r="AG30" i="30"/>
  <c r="AH66" i="30"/>
  <c r="AH65" i="30"/>
  <c r="AH53" i="30"/>
  <c r="AH49" i="30"/>
  <c r="AD87" i="30"/>
  <c r="AE79" i="11"/>
  <c r="AG41" i="30"/>
  <c r="AG37" i="30"/>
  <c r="AI62" i="30"/>
  <c r="AI63" i="30" s="1"/>
  <c r="AI64" i="30" s="1"/>
  <c r="AI27" i="30"/>
  <c r="AI68" i="30"/>
  <c r="AI69" i="30" s="1"/>
  <c r="AI50" i="30"/>
  <c r="AI51" i="30"/>
  <c r="AI54" i="30" s="1"/>
  <c r="AI57" i="30" s="1"/>
  <c r="AG72" i="30"/>
  <c r="AH71" i="30"/>
  <c r="AH70" i="30"/>
  <c r="AH22" i="19"/>
  <c r="AI21" i="19"/>
  <c r="AH23" i="19"/>
  <c r="Z28" i="19"/>
  <c r="Z29" i="19" s="1"/>
  <c r="AH44" i="11"/>
  <c r="AK70" i="15"/>
  <c r="AJ24" i="30" s="1"/>
  <c r="AJ71" i="15"/>
  <c r="AI25" i="30" s="1"/>
  <c r="AJ72" i="15"/>
  <c r="AI26" i="30" s="1"/>
  <c r="AY62" i="15"/>
  <c r="AX92" i="15"/>
  <c r="AX91" i="15"/>
  <c r="AX90" i="15" s="1"/>
  <c r="AX111" i="15" s="1"/>
  <c r="AX69" i="15"/>
  <c r="AW147" i="15"/>
  <c r="AW146" i="15"/>
  <c r="AL120" i="15"/>
  <c r="AL115" i="15"/>
  <c r="AL116" i="15"/>
  <c r="AK127" i="15"/>
  <c r="AK153" i="15" s="1"/>
  <c r="AO56" i="16"/>
  <c r="AN65" i="16"/>
  <c r="AM55" i="17"/>
  <c r="AL65" i="17"/>
  <c r="AG13" i="27"/>
  <c r="AH11" i="27"/>
  <c r="AO26" i="27"/>
  <c r="AN28" i="27"/>
  <c r="AI65" i="22"/>
  <c r="AI53" i="22"/>
  <c r="AI59" i="22" s="1"/>
  <c r="AJ47" i="22"/>
  <c r="AK39" i="22"/>
  <c r="AK80" i="22"/>
  <c r="AL71" i="22"/>
  <c r="AJ33" i="18"/>
  <c r="AK64" i="18"/>
  <c r="AL55" i="18"/>
  <c r="AJ45" i="18"/>
  <c r="AJ51" i="18" s="1"/>
  <c r="AK38" i="18"/>
  <c r="AK37" i="17"/>
  <c r="AK44" i="17" s="1"/>
  <c r="AK50" i="17" s="1"/>
  <c r="AJ34" i="17"/>
  <c r="AM35" i="16"/>
  <c r="AK48" i="16"/>
  <c r="AK71" i="16" s="1"/>
  <c r="AC89" i="30" l="1"/>
  <c r="AF83" i="30"/>
  <c r="AF87" i="30" s="1"/>
  <c r="AG56" i="11" s="1"/>
  <c r="AH30" i="30"/>
  <c r="AH34" i="30" s="1"/>
  <c r="AH79" i="30" s="1"/>
  <c r="AH72" i="30"/>
  <c r="AH73" i="30" s="1"/>
  <c r="AH75" i="30" s="1"/>
  <c r="AE88" i="30"/>
  <c r="AF67" i="11" s="1"/>
  <c r="AI28" i="30"/>
  <c r="AI31" i="30" s="1"/>
  <c r="AI38" i="30"/>
  <c r="AI53" i="30"/>
  <c r="AI49" i="30"/>
  <c r="AG44" i="30"/>
  <c r="AG43" i="30" s="1"/>
  <c r="AG40" i="30"/>
  <c r="AG46" i="30" s="1"/>
  <c r="AG80" i="30" s="1"/>
  <c r="AG34" i="30"/>
  <c r="AG79" i="30" s="1"/>
  <c r="AG33" i="30"/>
  <c r="AF86" i="30"/>
  <c r="AJ62" i="30"/>
  <c r="AJ63" i="30" s="1"/>
  <c r="AJ64" i="30" s="1"/>
  <c r="AJ27" i="30"/>
  <c r="AJ50" i="30"/>
  <c r="AJ68" i="30"/>
  <c r="AJ69" i="30" s="1"/>
  <c r="AJ51" i="30"/>
  <c r="AJ54" i="30" s="1"/>
  <c r="AJ57" i="30" s="1"/>
  <c r="AI70" i="30"/>
  <c r="AI71" i="30"/>
  <c r="AH56" i="30"/>
  <c r="AH55" i="30" s="1"/>
  <c r="AH52" i="30"/>
  <c r="AH58" i="30" s="1"/>
  <c r="AH81" i="30" s="1"/>
  <c r="AI29" i="30"/>
  <c r="AI32" i="30" s="1"/>
  <c r="AI39" i="30"/>
  <c r="AI42" i="30" s="1"/>
  <c r="AI45" i="30" s="1"/>
  <c r="AG74" i="30"/>
  <c r="AG76" i="30" s="1"/>
  <c r="AG82" i="30" s="1"/>
  <c r="AG73" i="30"/>
  <c r="AG75" i="30" s="1"/>
  <c r="AI65" i="30"/>
  <c r="AI66" i="30"/>
  <c r="AE56" i="11"/>
  <c r="AD88" i="30"/>
  <c r="AH41" i="30"/>
  <c r="AH37" i="30"/>
  <c r="AA27" i="19"/>
  <c r="AJ21" i="19"/>
  <c r="AI22" i="19"/>
  <c r="AI23" i="19"/>
  <c r="AI44" i="11"/>
  <c r="AZ62" i="15"/>
  <c r="AY91" i="15"/>
  <c r="AY92" i="15"/>
  <c r="AY90" i="15" s="1"/>
  <c r="AY111" i="15" s="1"/>
  <c r="AY112" i="15" s="1"/>
  <c r="AY69" i="15"/>
  <c r="AX146" i="15"/>
  <c r="AX147" i="15"/>
  <c r="AX112" i="15"/>
  <c r="AL70" i="15"/>
  <c r="AK24" i="30" s="1"/>
  <c r="AK71" i="15"/>
  <c r="AJ25" i="30" s="1"/>
  <c r="AK72" i="15"/>
  <c r="AJ26" i="30" s="1"/>
  <c r="AM120" i="15"/>
  <c r="AM115" i="15"/>
  <c r="AM116" i="15"/>
  <c r="AL127" i="15"/>
  <c r="AL153" i="15" s="1"/>
  <c r="AP56" i="16"/>
  <c r="AO65" i="16"/>
  <c r="AN55" i="17"/>
  <c r="AM65" i="17"/>
  <c r="AP26" i="27"/>
  <c r="AO28" i="27"/>
  <c r="AH13" i="27"/>
  <c r="AI11" i="27"/>
  <c r="AJ65" i="22"/>
  <c r="AJ53" i="22"/>
  <c r="AJ59" i="22" s="1"/>
  <c r="AK47" i="22"/>
  <c r="AL39" i="22"/>
  <c r="AL80" i="22"/>
  <c r="AM71" i="22"/>
  <c r="AK33" i="18"/>
  <c r="AL64" i="18"/>
  <c r="AM55" i="18"/>
  <c r="AL38" i="18"/>
  <c r="AK45" i="18"/>
  <c r="AK51" i="18" s="1"/>
  <c r="AL37" i="17"/>
  <c r="AL44" i="17" s="1"/>
  <c r="AL50" i="17" s="1"/>
  <c r="AK34" i="17"/>
  <c r="AN35" i="16"/>
  <c r="AL48" i="16"/>
  <c r="AL71" i="16" s="1"/>
  <c r="AG83" i="30" l="1"/>
  <c r="AG87" i="30" s="1"/>
  <c r="AH56" i="11" s="1"/>
  <c r="AG79" i="11"/>
  <c r="AE89" i="30"/>
  <c r="AH33" i="30"/>
  <c r="AG86" i="30"/>
  <c r="AH74" i="30"/>
  <c r="AH76" i="30" s="1"/>
  <c r="AH82" i="30" s="1"/>
  <c r="AI72" i="30"/>
  <c r="AI74" i="30" s="1"/>
  <c r="AI76" i="30" s="1"/>
  <c r="AI82" i="30" s="1"/>
  <c r="AJ66" i="30"/>
  <c r="AJ65" i="30"/>
  <c r="AJ39" i="30"/>
  <c r="AJ42" i="30" s="1"/>
  <c r="AJ45" i="30" s="1"/>
  <c r="AJ29" i="30"/>
  <c r="AJ32" i="30" s="1"/>
  <c r="AJ28" i="30"/>
  <c r="AJ31" i="30" s="1"/>
  <c r="AJ38" i="30"/>
  <c r="AH44" i="30"/>
  <c r="AH43" i="30" s="1"/>
  <c r="AH40" i="30"/>
  <c r="AH46" i="30" s="1"/>
  <c r="AH80" i="30" s="1"/>
  <c r="AJ71" i="30"/>
  <c r="AJ70" i="30"/>
  <c r="AG45" i="11"/>
  <c r="AF88" i="30"/>
  <c r="AI56" i="30"/>
  <c r="AI55" i="30" s="1"/>
  <c r="AI52" i="30"/>
  <c r="AI58" i="30" s="1"/>
  <c r="AI81" i="30" s="1"/>
  <c r="AK27" i="30"/>
  <c r="AK62" i="30"/>
  <c r="AK63" i="30" s="1"/>
  <c r="AK64" i="30" s="1"/>
  <c r="AK51" i="30"/>
  <c r="AK54" i="30" s="1"/>
  <c r="AK57" i="30" s="1"/>
  <c r="AK50" i="30"/>
  <c r="AK68" i="30"/>
  <c r="AK69" i="30" s="1"/>
  <c r="AE67" i="11"/>
  <c r="AD89" i="30"/>
  <c r="AH45" i="11"/>
  <c r="AJ53" i="30"/>
  <c r="AJ49" i="30"/>
  <c r="AI41" i="30"/>
  <c r="AI37" i="30"/>
  <c r="AI30" i="30"/>
  <c r="AJ23" i="19"/>
  <c r="AK21" i="19"/>
  <c r="AJ22" i="19"/>
  <c r="AA28" i="19"/>
  <c r="AA29" i="19" s="1"/>
  <c r="AJ44" i="11"/>
  <c r="AY146" i="15"/>
  <c r="AY147" i="15"/>
  <c r="AM70" i="15"/>
  <c r="AL24" i="30" s="1"/>
  <c r="AL71" i="15"/>
  <c r="AK25" i="30" s="1"/>
  <c r="AL72" i="15"/>
  <c r="AK26" i="30" s="1"/>
  <c r="BA62" i="15"/>
  <c r="AZ91" i="15"/>
  <c r="AZ92" i="15"/>
  <c r="AZ90" i="15" s="1"/>
  <c r="AZ111" i="15" s="1"/>
  <c r="AZ69" i="15"/>
  <c r="AN120" i="15"/>
  <c r="AN115" i="15"/>
  <c r="AN116" i="15"/>
  <c r="AM127" i="15"/>
  <c r="AM153" i="15" s="1"/>
  <c r="AQ56" i="16"/>
  <c r="AP65" i="16"/>
  <c r="AO55" i="17"/>
  <c r="AN65" i="17"/>
  <c r="AI13" i="27"/>
  <c r="AJ11" i="27"/>
  <c r="AQ26" i="27"/>
  <c r="AP28" i="27"/>
  <c r="AK65" i="22"/>
  <c r="AK53" i="22"/>
  <c r="AK59" i="22" s="1"/>
  <c r="AM80" i="22"/>
  <c r="AN71" i="22"/>
  <c r="AL47" i="22"/>
  <c r="AM39" i="22"/>
  <c r="AL33" i="18"/>
  <c r="AN55" i="18"/>
  <c r="AM64" i="18"/>
  <c r="AL45" i="18"/>
  <c r="AL51" i="18" s="1"/>
  <c r="AM38" i="18"/>
  <c r="AM37" i="17"/>
  <c r="AM44" i="17" s="1"/>
  <c r="AM50" i="17" s="1"/>
  <c r="AL34" i="17"/>
  <c r="AO35" i="16"/>
  <c r="AM48" i="16"/>
  <c r="AM71" i="16" s="1"/>
  <c r="AH79" i="11" l="1"/>
  <c r="AH86" i="30"/>
  <c r="AI45" i="11" s="1"/>
  <c r="AI73" i="30"/>
  <c r="AI75" i="30" s="1"/>
  <c r="AH83" i="30"/>
  <c r="AH87" i="30" s="1"/>
  <c r="AI56" i="11" s="1"/>
  <c r="AJ30" i="30"/>
  <c r="AJ33" i="30" s="1"/>
  <c r="AI44" i="30"/>
  <c r="AI43" i="30" s="1"/>
  <c r="AI40" i="30"/>
  <c r="AI46" i="30" s="1"/>
  <c r="AI80" i="30" s="1"/>
  <c r="AK66" i="30"/>
  <c r="AK65" i="30"/>
  <c r="AG67" i="11"/>
  <c r="AF89" i="30"/>
  <c r="AK29" i="30"/>
  <c r="AK32" i="30" s="1"/>
  <c r="AK39" i="30"/>
  <c r="AK42" i="30" s="1"/>
  <c r="AK45" i="30" s="1"/>
  <c r="AG88" i="30"/>
  <c r="AK70" i="30"/>
  <c r="AK71" i="30"/>
  <c r="AK28" i="30"/>
  <c r="AK31" i="30" s="1"/>
  <c r="AK38" i="30"/>
  <c r="AK53" i="30"/>
  <c r="AK49" i="30"/>
  <c r="AJ37" i="30"/>
  <c r="AJ41" i="30"/>
  <c r="AI33" i="30"/>
  <c r="AI34" i="30"/>
  <c r="AI79" i="30" s="1"/>
  <c r="AJ56" i="30"/>
  <c r="AJ55" i="30" s="1"/>
  <c r="AJ52" i="30"/>
  <c r="AJ58" i="30" s="1"/>
  <c r="AJ81" i="30" s="1"/>
  <c r="AL27" i="30"/>
  <c r="AL68" i="30"/>
  <c r="AL69" i="30" s="1"/>
  <c r="AL51" i="30"/>
  <c r="AL54" i="30" s="1"/>
  <c r="AL57" i="30" s="1"/>
  <c r="AL50" i="30"/>
  <c r="AL62" i="30"/>
  <c r="AL63" i="30" s="1"/>
  <c r="AL64" i="30" s="1"/>
  <c r="AJ72" i="30"/>
  <c r="AB27" i="19"/>
  <c r="AB28" i="19" s="1"/>
  <c r="AB29" i="19" s="1"/>
  <c r="AK23" i="19"/>
  <c r="AL21" i="19"/>
  <c r="AK22" i="19"/>
  <c r="AK44" i="11"/>
  <c r="AZ112" i="15"/>
  <c r="AN70" i="15"/>
  <c r="AM24" i="30" s="1"/>
  <c r="AM71" i="15"/>
  <c r="AL25" i="30" s="1"/>
  <c r="AM72" i="15"/>
  <c r="AL26" i="30" s="1"/>
  <c r="BB62" i="15"/>
  <c r="BA91" i="15"/>
  <c r="BA92" i="15"/>
  <c r="BA69" i="15"/>
  <c r="AZ146" i="15"/>
  <c r="AZ147" i="15"/>
  <c r="AO120" i="15"/>
  <c r="AO115" i="15"/>
  <c r="AO116" i="15"/>
  <c r="AN127" i="15"/>
  <c r="AN153" i="15" s="1"/>
  <c r="AR56" i="16"/>
  <c r="AQ65" i="16"/>
  <c r="AP55" i="17"/>
  <c r="AO65" i="17"/>
  <c r="AK11" i="27"/>
  <c r="AJ13" i="27"/>
  <c r="AR26" i="27"/>
  <c r="AQ28" i="27"/>
  <c r="AL65" i="22"/>
  <c r="AL53" i="22"/>
  <c r="AL59" i="22" s="1"/>
  <c r="AM47" i="22"/>
  <c r="AN39" i="22"/>
  <c r="AN80" i="22"/>
  <c r="AO71" i="22"/>
  <c r="AM33" i="18"/>
  <c r="AN38" i="18"/>
  <c r="AM45" i="18"/>
  <c r="AM51" i="18" s="1"/>
  <c r="AN64" i="18"/>
  <c r="AO55" i="18"/>
  <c r="AN37" i="17"/>
  <c r="AN44" i="17" s="1"/>
  <c r="AN50" i="17" s="1"/>
  <c r="AM34" i="17"/>
  <c r="AP35" i="16"/>
  <c r="AN48" i="16"/>
  <c r="AN71" i="16" s="1"/>
  <c r="AI86" i="30" l="1"/>
  <c r="AI79" i="11"/>
  <c r="AJ34" i="30"/>
  <c r="AJ79" i="30" s="1"/>
  <c r="AI83" i="30"/>
  <c r="AI87" i="30" s="1"/>
  <c r="AK72" i="30"/>
  <c r="AK74" i="30" s="1"/>
  <c r="AK76" i="30" s="1"/>
  <c r="AK82" i="30" s="1"/>
  <c r="AL53" i="30"/>
  <c r="AL49" i="30"/>
  <c r="AJ44" i="30"/>
  <c r="AJ43" i="30" s="1"/>
  <c r="AJ40" i="30"/>
  <c r="AJ46" i="30" s="1"/>
  <c r="AJ80" i="30" s="1"/>
  <c r="AK41" i="30"/>
  <c r="AK37" i="30"/>
  <c r="AG89" i="30"/>
  <c r="AH67" i="11"/>
  <c r="AJ74" i="30"/>
  <c r="AJ76" i="30" s="1"/>
  <c r="AJ82" i="30" s="1"/>
  <c r="AJ73" i="30"/>
  <c r="AJ75" i="30" s="1"/>
  <c r="AK30" i="30"/>
  <c r="AL28" i="30"/>
  <c r="AL31" i="30" s="1"/>
  <c r="AL38" i="30"/>
  <c r="AL71" i="30"/>
  <c r="AL70" i="30"/>
  <c r="AK73" i="30"/>
  <c r="AK75" i="30" s="1"/>
  <c r="AH88" i="30"/>
  <c r="AL29" i="30"/>
  <c r="AL32" i="30" s="1"/>
  <c r="AL39" i="30"/>
  <c r="AL42" i="30" s="1"/>
  <c r="AL45" i="30" s="1"/>
  <c r="AJ45" i="11"/>
  <c r="AM62" i="30"/>
  <c r="AM63" i="30" s="1"/>
  <c r="AM64" i="30" s="1"/>
  <c r="AM68" i="30"/>
  <c r="AM69" i="30" s="1"/>
  <c r="AM27" i="30"/>
  <c r="AM51" i="30"/>
  <c r="AM54" i="30" s="1"/>
  <c r="AM57" i="30" s="1"/>
  <c r="AM50" i="30"/>
  <c r="AL66" i="30"/>
  <c r="AL65" i="30"/>
  <c r="AK56" i="30"/>
  <c r="AK55" i="30" s="1"/>
  <c r="AK52" i="30"/>
  <c r="AK58" i="30" s="1"/>
  <c r="AK81" i="30" s="1"/>
  <c r="AL23" i="19"/>
  <c r="AL22" i="19"/>
  <c r="AM21" i="19"/>
  <c r="AC27" i="19"/>
  <c r="AL44" i="11"/>
  <c r="BA90" i="15"/>
  <c r="BA111" i="15" s="1"/>
  <c r="BA112" i="15" s="1"/>
  <c r="BC62" i="15"/>
  <c r="BB91" i="15"/>
  <c r="BB92" i="15"/>
  <c r="BB69" i="15"/>
  <c r="BA146" i="15"/>
  <c r="BA147" i="15"/>
  <c r="AO70" i="15"/>
  <c r="AN24" i="30" s="1"/>
  <c r="AN72" i="15"/>
  <c r="AM26" i="30" s="1"/>
  <c r="AN71" i="15"/>
  <c r="AM25" i="30" s="1"/>
  <c r="AP120" i="15"/>
  <c r="AP115" i="15"/>
  <c r="AP116" i="15"/>
  <c r="AO127" i="15"/>
  <c r="AO153" i="15" s="1"/>
  <c r="AS56" i="16"/>
  <c r="AR65" i="16"/>
  <c r="AQ55" i="17"/>
  <c r="AP65" i="17"/>
  <c r="AS26" i="27"/>
  <c r="AR28" i="27"/>
  <c r="AK13" i="27"/>
  <c r="AL11" i="27"/>
  <c r="AM65" i="22"/>
  <c r="AM53" i="22"/>
  <c r="AM59" i="22" s="1"/>
  <c r="AO80" i="22"/>
  <c r="AP71" i="22"/>
  <c r="AN47" i="22"/>
  <c r="AO39" i="22"/>
  <c r="AN33" i="18"/>
  <c r="AN45" i="18"/>
  <c r="AN51" i="18" s="1"/>
  <c r="AO38" i="18"/>
  <c r="AO64" i="18"/>
  <c r="AP55" i="18"/>
  <c r="AO37" i="17"/>
  <c r="AO44" i="17" s="1"/>
  <c r="AO50" i="17" s="1"/>
  <c r="AN34" i="17"/>
  <c r="AQ35" i="16"/>
  <c r="AO48" i="16"/>
  <c r="AO71" i="16" s="1"/>
  <c r="AL30" i="30" l="1"/>
  <c r="AL34" i="30" s="1"/>
  <c r="AL79" i="30" s="1"/>
  <c r="AJ79" i="11"/>
  <c r="AJ83" i="30"/>
  <c r="AJ87" i="30" s="1"/>
  <c r="AK56" i="11" s="1"/>
  <c r="AJ56" i="11"/>
  <c r="AI88" i="30"/>
  <c r="AI89" i="30" s="1"/>
  <c r="AJ86" i="30"/>
  <c r="AK45" i="11" s="1"/>
  <c r="AM29" i="30"/>
  <c r="AM32" i="30" s="1"/>
  <c r="AM39" i="30"/>
  <c r="AM42" i="30" s="1"/>
  <c r="AM45" i="30" s="1"/>
  <c r="AM70" i="30"/>
  <c r="AM71" i="30"/>
  <c r="AH89" i="30"/>
  <c r="AI67" i="11"/>
  <c r="AN62" i="30"/>
  <c r="AN63" i="30" s="1"/>
  <c r="AN64" i="30" s="1"/>
  <c r="AN68" i="30"/>
  <c r="AN69" i="30" s="1"/>
  <c r="AN51" i="30"/>
  <c r="AN54" i="30" s="1"/>
  <c r="AN57" i="30" s="1"/>
  <c r="AN50" i="30"/>
  <c r="AN27" i="30"/>
  <c r="AM53" i="30"/>
  <c r="AM49" i="30"/>
  <c r="AM65" i="30"/>
  <c r="AM66" i="30"/>
  <c r="AL41" i="30"/>
  <c r="AL37" i="30"/>
  <c r="AK44" i="30"/>
  <c r="AK43" i="30" s="1"/>
  <c r="AK40" i="30"/>
  <c r="AK46" i="30" s="1"/>
  <c r="AK80" i="30" s="1"/>
  <c r="AL56" i="30"/>
  <c r="AL55" i="30" s="1"/>
  <c r="AL52" i="30"/>
  <c r="AL58" i="30" s="1"/>
  <c r="AL81" i="30" s="1"/>
  <c r="AM28" i="30"/>
  <c r="AM31" i="30" s="1"/>
  <c r="AM38" i="30"/>
  <c r="AL72" i="30"/>
  <c r="AK34" i="30"/>
  <c r="AK79" i="30" s="1"/>
  <c r="AK33" i="30"/>
  <c r="AM22" i="19"/>
  <c r="AM23" i="19"/>
  <c r="AN21" i="19"/>
  <c r="AC28" i="19"/>
  <c r="AC29" i="19" s="1"/>
  <c r="AM44" i="11"/>
  <c r="BB147" i="15"/>
  <c r="BB146" i="15"/>
  <c r="AP70" i="15"/>
  <c r="AO24" i="30" s="1"/>
  <c r="AO72" i="15"/>
  <c r="AN26" i="30" s="1"/>
  <c r="AO71" i="15"/>
  <c r="AN25" i="30" s="1"/>
  <c r="BB90" i="15"/>
  <c r="BB111" i="15" s="1"/>
  <c r="BB112" i="15" s="1"/>
  <c r="BD62" i="15"/>
  <c r="BC92" i="15"/>
  <c r="BC91" i="15"/>
  <c r="BC90" i="15" s="1"/>
  <c r="BC111" i="15" s="1"/>
  <c r="BC69" i="15"/>
  <c r="AQ120" i="15"/>
  <c r="AQ115" i="15"/>
  <c r="AQ116" i="15"/>
  <c r="AP127" i="15"/>
  <c r="AP153" i="15" s="1"/>
  <c r="AT56" i="16"/>
  <c r="AS65" i="16"/>
  <c r="AR55" i="17"/>
  <c r="AQ65" i="17"/>
  <c r="AT26" i="27"/>
  <c r="AS28" i="27"/>
  <c r="AL13" i="27"/>
  <c r="AM11" i="27"/>
  <c r="AN65" i="22"/>
  <c r="AN53" i="22"/>
  <c r="AN59" i="22" s="1"/>
  <c r="AO47" i="22"/>
  <c r="AP39" i="22"/>
  <c r="AP80" i="22"/>
  <c r="AQ71" i="22"/>
  <c r="AO33" i="18"/>
  <c r="AQ55" i="18"/>
  <c r="AP64" i="18"/>
  <c r="AP38" i="18"/>
  <c r="AO45" i="18"/>
  <c r="AO51" i="18" s="1"/>
  <c r="AP37" i="17"/>
  <c r="AP44" i="17" s="1"/>
  <c r="AP50" i="17" s="1"/>
  <c r="AO34" i="17"/>
  <c r="AR35" i="16"/>
  <c r="AP48" i="16"/>
  <c r="AP71" i="16" s="1"/>
  <c r="AJ67" i="11" l="1"/>
  <c r="AK79" i="11"/>
  <c r="AL33" i="30"/>
  <c r="AM30" i="30"/>
  <c r="AM33" i="30" s="1"/>
  <c r="AK86" i="30"/>
  <c r="AL45" i="11" s="1"/>
  <c r="D5" i="11" s="1"/>
  <c r="K9" i="11" s="1"/>
  <c r="AK83" i="30"/>
  <c r="AK87" i="30" s="1"/>
  <c r="AN28" i="30"/>
  <c r="AN31" i="30" s="1"/>
  <c r="AN38" i="30"/>
  <c r="AO27" i="30"/>
  <c r="AO51" i="30"/>
  <c r="AO54" i="30" s="1"/>
  <c r="AO57" i="30" s="1"/>
  <c r="AO68" i="30"/>
  <c r="AO69" i="30" s="1"/>
  <c r="AO50" i="30"/>
  <c r="AO62" i="30"/>
  <c r="AO63" i="30" s="1"/>
  <c r="AO64" i="30" s="1"/>
  <c r="AD27" i="19"/>
  <c r="AD28" i="19" s="1"/>
  <c r="AD29" i="19" s="1"/>
  <c r="AM34" i="30"/>
  <c r="AM79" i="30" s="1"/>
  <c r="AN53" i="30"/>
  <c r="AN49" i="30"/>
  <c r="AM72" i="30"/>
  <c r="AL40" i="30"/>
  <c r="AL46" i="30" s="1"/>
  <c r="AL80" i="30" s="1"/>
  <c r="AL44" i="30"/>
  <c r="AL43" i="30" s="1"/>
  <c r="AJ88" i="30"/>
  <c r="AN71" i="30"/>
  <c r="AN70" i="30"/>
  <c r="AL73" i="30"/>
  <c r="AL75" i="30" s="1"/>
  <c r="AL74" i="30"/>
  <c r="AL76" i="30" s="1"/>
  <c r="AL82" i="30" s="1"/>
  <c r="AM52" i="30"/>
  <c r="AM58" i="30" s="1"/>
  <c r="AM81" i="30" s="1"/>
  <c r="AM56" i="30"/>
  <c r="AM55" i="30" s="1"/>
  <c r="AN29" i="30"/>
  <c r="AN32" i="30" s="1"/>
  <c r="AN39" i="30"/>
  <c r="AN42" i="30" s="1"/>
  <c r="AN45" i="30" s="1"/>
  <c r="AM41" i="30"/>
  <c r="AM37" i="30"/>
  <c r="AN66" i="30"/>
  <c r="AN65" i="30"/>
  <c r="AN23" i="19"/>
  <c r="AO21" i="19"/>
  <c r="AN22" i="19"/>
  <c r="AN44" i="11"/>
  <c r="BC112" i="15"/>
  <c r="BC146" i="15"/>
  <c r="BC147" i="15"/>
  <c r="AQ70" i="15"/>
  <c r="AP24" i="30" s="1"/>
  <c r="AP72" i="15"/>
  <c r="AO26" i="30" s="1"/>
  <c r="AP71" i="15"/>
  <c r="AO25" i="30" s="1"/>
  <c r="BE62" i="15"/>
  <c r="BD92" i="15"/>
  <c r="BD91" i="15"/>
  <c r="BD90" i="15" s="1"/>
  <c r="BD111" i="15" s="1"/>
  <c r="BD69" i="15"/>
  <c r="AR120" i="15"/>
  <c r="AR115" i="15"/>
  <c r="AR116" i="15"/>
  <c r="AQ127" i="15"/>
  <c r="AQ153" i="15" s="1"/>
  <c r="AU56" i="16"/>
  <c r="AU65" i="16" s="1"/>
  <c r="AT65" i="16"/>
  <c r="AS55" i="17"/>
  <c r="AR65" i="17"/>
  <c r="AU26" i="27"/>
  <c r="AT28" i="27"/>
  <c r="AM13" i="27"/>
  <c r="AN11" i="27"/>
  <c r="AO65" i="22"/>
  <c r="AO53" i="22"/>
  <c r="AO59" i="22" s="1"/>
  <c r="AQ80" i="22"/>
  <c r="AR71" i="22"/>
  <c r="AQ39" i="22"/>
  <c r="AP47" i="22"/>
  <c r="AP33" i="18"/>
  <c r="AR55" i="18"/>
  <c r="AQ64" i="18"/>
  <c r="AP45" i="18"/>
  <c r="AP51" i="18" s="1"/>
  <c r="AQ38" i="18"/>
  <c r="AQ37" i="17"/>
  <c r="AQ44" i="17" s="1"/>
  <c r="AQ50" i="17" s="1"/>
  <c r="AP34" i="17"/>
  <c r="AS35" i="16"/>
  <c r="AQ48" i="16"/>
  <c r="AQ71" i="16" s="1"/>
  <c r="AN30" i="30" l="1"/>
  <c r="AL86" i="30"/>
  <c r="AM45" i="11" s="1"/>
  <c r="AL56" i="11"/>
  <c r="D16" i="11" s="1"/>
  <c r="K10" i="11" s="1"/>
  <c r="AK88" i="30"/>
  <c r="AK89" i="30" s="1"/>
  <c r="AN72" i="30"/>
  <c r="AN74" i="30" s="1"/>
  <c r="AN76" i="30" s="1"/>
  <c r="AN82" i="30" s="1"/>
  <c r="AL79" i="11"/>
  <c r="D91" i="11" s="1"/>
  <c r="AL83" i="30"/>
  <c r="AO53" i="30"/>
  <c r="AO49" i="30"/>
  <c r="AN41" i="30"/>
  <c r="AN37" i="30"/>
  <c r="AO28" i="30"/>
  <c r="AO31" i="30" s="1"/>
  <c r="AO38" i="30"/>
  <c r="AM44" i="30"/>
  <c r="AM43" i="30" s="1"/>
  <c r="AM40" i="30"/>
  <c r="AM46" i="30" s="1"/>
  <c r="AM80" i="30" s="1"/>
  <c r="AM73" i="30"/>
  <c r="AM75" i="30" s="1"/>
  <c r="AM74" i="30"/>
  <c r="AM76" i="30" s="1"/>
  <c r="AM82" i="30" s="1"/>
  <c r="AO71" i="30"/>
  <c r="AO70" i="30"/>
  <c r="AO29" i="30"/>
  <c r="AO32" i="30" s="1"/>
  <c r="AO39" i="30"/>
  <c r="AO42" i="30" s="1"/>
  <c r="AO45" i="30" s="1"/>
  <c r="AK67" i="11"/>
  <c r="AJ89" i="30"/>
  <c r="AP27" i="30"/>
  <c r="AP51" i="30"/>
  <c r="AP54" i="30" s="1"/>
  <c r="AP57" i="30" s="1"/>
  <c r="AP68" i="30"/>
  <c r="AP69" i="30" s="1"/>
  <c r="AP62" i="30"/>
  <c r="AP63" i="30" s="1"/>
  <c r="AP64" i="30" s="1"/>
  <c r="AP50" i="30"/>
  <c r="AN34" i="30"/>
  <c r="AN79" i="30" s="1"/>
  <c r="AN33" i="30"/>
  <c r="AN56" i="30"/>
  <c r="AN55" i="30" s="1"/>
  <c r="AN52" i="30"/>
  <c r="AN58" i="30" s="1"/>
  <c r="AN81" i="30" s="1"/>
  <c r="AO66" i="30"/>
  <c r="AO65" i="30"/>
  <c r="AE27" i="19"/>
  <c r="AO22" i="19"/>
  <c r="AO23" i="19"/>
  <c r="AP21" i="19"/>
  <c r="AO44" i="11"/>
  <c r="BD112" i="15"/>
  <c r="AR70" i="15"/>
  <c r="AQ24" i="30" s="1"/>
  <c r="AQ71" i="15"/>
  <c r="AP25" i="30" s="1"/>
  <c r="AQ72" i="15"/>
  <c r="AP26" i="30" s="1"/>
  <c r="BF62" i="15"/>
  <c r="BE91" i="15"/>
  <c r="BE92" i="15"/>
  <c r="BE69" i="15"/>
  <c r="BD146" i="15"/>
  <c r="BD147" i="15"/>
  <c r="AS120" i="15"/>
  <c r="AS115" i="15"/>
  <c r="AS116" i="15"/>
  <c r="AR127" i="15"/>
  <c r="AR153" i="15" s="1"/>
  <c r="AT55" i="17"/>
  <c r="AS65" i="17"/>
  <c r="AV26" i="27"/>
  <c r="AU28" i="27"/>
  <c r="AN13" i="27"/>
  <c r="AO11" i="27"/>
  <c r="AP65" i="22"/>
  <c r="AP53" i="22"/>
  <c r="AP59" i="22" s="1"/>
  <c r="AR80" i="22"/>
  <c r="AS71" i="22"/>
  <c r="AQ47" i="22"/>
  <c r="AR39" i="22"/>
  <c r="AQ33" i="18"/>
  <c r="AQ45" i="18"/>
  <c r="AQ51" i="18" s="1"/>
  <c r="AR38" i="18"/>
  <c r="AR64" i="18"/>
  <c r="AS55" i="18"/>
  <c r="AR37" i="17"/>
  <c r="AR44" i="17" s="1"/>
  <c r="AR50" i="17" s="1"/>
  <c r="AQ34" i="17"/>
  <c r="AT35" i="16"/>
  <c r="AR48" i="16"/>
  <c r="AR71" i="16" s="1"/>
  <c r="AL67" i="11" l="1"/>
  <c r="D27" i="11" s="1"/>
  <c r="AM86" i="30"/>
  <c r="AN45" i="11" s="1"/>
  <c r="AN73" i="30"/>
  <c r="AN75" i="30" s="1"/>
  <c r="AM83" i="30"/>
  <c r="AM87" i="30" s="1"/>
  <c r="AP71" i="30"/>
  <c r="AP70" i="30"/>
  <c r="AP28" i="30"/>
  <c r="AP31" i="30" s="1"/>
  <c r="AP38" i="30"/>
  <c r="AQ27" i="30"/>
  <c r="AQ62" i="30"/>
  <c r="AQ63" i="30" s="1"/>
  <c r="AQ64" i="30" s="1"/>
  <c r="AQ50" i="30"/>
  <c r="AQ51" i="30"/>
  <c r="AQ54" i="30" s="1"/>
  <c r="AQ57" i="30" s="1"/>
  <c r="AQ68" i="30"/>
  <c r="AQ69" i="30" s="1"/>
  <c r="AO72" i="30"/>
  <c r="AN44" i="30"/>
  <c r="AN43" i="30" s="1"/>
  <c r="AN40" i="30"/>
  <c r="AN46" i="30" s="1"/>
  <c r="AN80" i="30" s="1"/>
  <c r="AN83" i="30" s="1"/>
  <c r="AL87" i="30"/>
  <c r="AM79" i="11"/>
  <c r="AP49" i="30"/>
  <c r="AP53" i="30"/>
  <c r="AO41" i="30"/>
  <c r="AO37" i="30"/>
  <c r="AP29" i="30"/>
  <c r="AP32" i="30" s="1"/>
  <c r="AP39" i="30"/>
  <c r="AP42" i="30" s="1"/>
  <c r="AP45" i="30" s="1"/>
  <c r="AP66" i="30"/>
  <c r="AP65" i="30"/>
  <c r="AO30" i="30"/>
  <c r="AO56" i="30"/>
  <c r="AO55" i="30" s="1"/>
  <c r="AO52" i="30"/>
  <c r="AO58" i="30" s="1"/>
  <c r="AO81" i="30" s="1"/>
  <c r="AQ21" i="19"/>
  <c r="AP23" i="19"/>
  <c r="AP22" i="19"/>
  <c r="AE28" i="19"/>
  <c r="AE29" i="19" s="1"/>
  <c r="AP44" i="11"/>
  <c r="BE90" i="15"/>
  <c r="BE111" i="15" s="1"/>
  <c r="BE112" i="15" s="1"/>
  <c r="BG62" i="15"/>
  <c r="BF91" i="15"/>
  <c r="BF92" i="15"/>
  <c r="BF69" i="15"/>
  <c r="BE146" i="15"/>
  <c r="BE147" i="15"/>
  <c r="AS70" i="15"/>
  <c r="AR24" i="30" s="1"/>
  <c r="AR72" i="15"/>
  <c r="AQ26" i="30" s="1"/>
  <c r="AR71" i="15"/>
  <c r="AQ25" i="30" s="1"/>
  <c r="AT120" i="15"/>
  <c r="AT115" i="15"/>
  <c r="AT116" i="15"/>
  <c r="AS127" i="15"/>
  <c r="AS153" i="15" s="1"/>
  <c r="AU55" i="17"/>
  <c r="AT65" i="17"/>
  <c r="AO13" i="27"/>
  <c r="AP11" i="27"/>
  <c r="AW26" i="27"/>
  <c r="AV28" i="27"/>
  <c r="AQ65" i="22"/>
  <c r="AQ53" i="22"/>
  <c r="AQ59" i="22" s="1"/>
  <c r="AS80" i="22"/>
  <c r="AT71" i="22"/>
  <c r="AR47" i="22"/>
  <c r="AS39" i="22"/>
  <c r="AR33" i="18"/>
  <c r="AR45" i="18"/>
  <c r="AR51" i="18" s="1"/>
  <c r="AS38" i="18"/>
  <c r="AT55" i="18"/>
  <c r="AS64" i="18"/>
  <c r="AS37" i="17"/>
  <c r="AS44" i="17" s="1"/>
  <c r="AS50" i="17" s="1"/>
  <c r="AR34" i="17"/>
  <c r="AU35" i="16"/>
  <c r="AS48" i="16"/>
  <c r="AS71" i="16" s="1"/>
  <c r="AN56" i="11" l="1"/>
  <c r="AM88" i="30"/>
  <c r="AN67" i="11" s="1"/>
  <c r="AN86" i="30"/>
  <c r="AO45" i="11" s="1"/>
  <c r="AN79" i="11"/>
  <c r="AN87" i="30"/>
  <c r="AO56" i="11" s="1"/>
  <c r="AO79" i="11"/>
  <c r="AQ29" i="30"/>
  <c r="AQ32" i="30" s="1"/>
  <c r="AQ39" i="30"/>
  <c r="AQ42" i="30" s="1"/>
  <c r="AQ45" i="30" s="1"/>
  <c r="AR62" i="30"/>
  <c r="AR63" i="30" s="1"/>
  <c r="AR64" i="30" s="1"/>
  <c r="AR27" i="30"/>
  <c r="AR51" i="30"/>
  <c r="AR54" i="30" s="1"/>
  <c r="AR57" i="30" s="1"/>
  <c r="AR50" i="30"/>
  <c r="AR68" i="30"/>
  <c r="AR69" i="30" s="1"/>
  <c r="AM56" i="11"/>
  <c r="AL88" i="30"/>
  <c r="AQ71" i="30"/>
  <c r="AQ70" i="30"/>
  <c r="AP72" i="30"/>
  <c r="AO34" i="30"/>
  <c r="AO79" i="30" s="1"/>
  <c r="AO33" i="30"/>
  <c r="AP56" i="30"/>
  <c r="AP55" i="30" s="1"/>
  <c r="AP52" i="30"/>
  <c r="AP58" i="30" s="1"/>
  <c r="AP81" i="30" s="1"/>
  <c r="AP41" i="30"/>
  <c r="AP37" i="30"/>
  <c r="AQ28" i="30"/>
  <c r="AQ31" i="30" s="1"/>
  <c r="AQ30" i="30" s="1"/>
  <c r="AQ38" i="30"/>
  <c r="AQ53" i="30"/>
  <c r="AQ49" i="30"/>
  <c r="AP30" i="30"/>
  <c r="AM89" i="30"/>
  <c r="AO44" i="30"/>
  <c r="AO43" i="30" s="1"/>
  <c r="AO40" i="30"/>
  <c r="AO46" i="30" s="1"/>
  <c r="AO80" i="30" s="1"/>
  <c r="AO74" i="30"/>
  <c r="AO76" i="30" s="1"/>
  <c r="AO82" i="30" s="1"/>
  <c r="AO73" i="30"/>
  <c r="AO75" i="30" s="1"/>
  <c r="AQ65" i="30"/>
  <c r="AQ66" i="30"/>
  <c r="AF27" i="19"/>
  <c r="AF28" i="19" s="1"/>
  <c r="AF29" i="19" s="1"/>
  <c r="AQ22" i="19"/>
  <c r="AR21" i="19"/>
  <c r="AQ23" i="19"/>
  <c r="AQ44" i="11"/>
  <c r="BF146" i="15"/>
  <c r="BF147" i="15"/>
  <c r="AT70" i="15"/>
  <c r="AS24" i="30" s="1"/>
  <c r="AS72" i="15"/>
  <c r="AR26" i="30" s="1"/>
  <c r="AS71" i="15"/>
  <c r="AR25" i="30" s="1"/>
  <c r="BF90" i="15"/>
  <c r="BF111" i="15" s="1"/>
  <c r="BF112" i="15" s="1"/>
  <c r="BH62" i="15"/>
  <c r="BG92" i="15"/>
  <c r="BG91" i="15"/>
  <c r="BG90" i="15" s="1"/>
  <c r="BG111" i="15" s="1"/>
  <c r="BG69" i="15"/>
  <c r="AU120" i="15"/>
  <c r="AU115" i="15"/>
  <c r="AU116" i="15"/>
  <c r="AT127" i="15"/>
  <c r="AT153" i="15" s="1"/>
  <c r="AV55" i="17"/>
  <c r="AU65" i="17"/>
  <c r="AQ11" i="27"/>
  <c r="AP13" i="27"/>
  <c r="AX26" i="27"/>
  <c r="AW28" i="27"/>
  <c r="AR65" i="22"/>
  <c r="AR53" i="22"/>
  <c r="AR59" i="22" s="1"/>
  <c r="AS47" i="22"/>
  <c r="AT39" i="22"/>
  <c r="AT80" i="22"/>
  <c r="AU71" i="22"/>
  <c r="AS33" i="18"/>
  <c r="AT64" i="18"/>
  <c r="AU55" i="18"/>
  <c r="AT38" i="18"/>
  <c r="AS45" i="18"/>
  <c r="AS51" i="18" s="1"/>
  <c r="AT37" i="17"/>
  <c r="AT44" i="17" s="1"/>
  <c r="AT50" i="17" s="1"/>
  <c r="AS34" i="17"/>
  <c r="AT48" i="16"/>
  <c r="AT71" i="16" s="1"/>
  <c r="AN88" i="30" l="1"/>
  <c r="AO67" i="11" s="1"/>
  <c r="AO86" i="30"/>
  <c r="AP45" i="11" s="1"/>
  <c r="AQ72" i="30"/>
  <c r="AQ73" i="30" s="1"/>
  <c r="AQ75" i="30" s="1"/>
  <c r="AO83" i="30"/>
  <c r="AO87" i="30" s="1"/>
  <c r="AP56" i="11" s="1"/>
  <c r="AS27" i="30"/>
  <c r="AS68" i="30"/>
  <c r="AS69" i="30" s="1"/>
  <c r="AS62" i="30"/>
  <c r="AS63" i="30" s="1"/>
  <c r="AS64" i="30" s="1"/>
  <c r="AS51" i="30"/>
  <c r="AS54" i="30" s="1"/>
  <c r="AS57" i="30" s="1"/>
  <c r="AS50" i="30"/>
  <c r="AQ37" i="30"/>
  <c r="AQ41" i="30"/>
  <c r="AR49" i="30"/>
  <c r="AR53" i="30"/>
  <c r="AQ33" i="30"/>
  <c r="AQ34" i="30"/>
  <c r="AQ79" i="30" s="1"/>
  <c r="AL89" i="30"/>
  <c r="AM67" i="11"/>
  <c r="AR28" i="30"/>
  <c r="AR31" i="30" s="1"/>
  <c r="AR38" i="30"/>
  <c r="AP74" i="30"/>
  <c r="AP76" i="30" s="1"/>
  <c r="AP82" i="30" s="1"/>
  <c r="AP73" i="30"/>
  <c r="AP75" i="30" s="1"/>
  <c r="AQ56" i="30"/>
  <c r="AQ55" i="30" s="1"/>
  <c r="AQ52" i="30"/>
  <c r="AQ58" i="30" s="1"/>
  <c r="AQ81" i="30" s="1"/>
  <c r="AR29" i="30"/>
  <c r="AR32" i="30" s="1"/>
  <c r="AR39" i="30"/>
  <c r="AR42" i="30" s="1"/>
  <c r="AR45" i="30" s="1"/>
  <c r="AP33" i="30"/>
  <c r="AP34" i="30"/>
  <c r="AP79" i="30" s="1"/>
  <c r="AP40" i="30"/>
  <c r="AP46" i="30" s="1"/>
  <c r="AP80" i="30" s="1"/>
  <c r="AP44" i="30"/>
  <c r="AP43" i="30" s="1"/>
  <c r="AR70" i="30"/>
  <c r="AR71" i="30"/>
  <c r="AR66" i="30"/>
  <c r="AR65" i="30"/>
  <c r="AR23" i="19"/>
  <c r="AS21" i="19"/>
  <c r="AR22" i="19"/>
  <c r="AG27" i="19"/>
  <c r="AR44" i="11"/>
  <c r="BG112" i="15"/>
  <c r="BI62" i="15"/>
  <c r="BH92" i="15"/>
  <c r="BH91" i="15"/>
  <c r="BH90" i="15" s="1"/>
  <c r="BH111" i="15" s="1"/>
  <c r="BH69" i="15"/>
  <c r="BG146" i="15"/>
  <c r="BG147" i="15"/>
  <c r="AU70" i="15"/>
  <c r="AT24" i="30" s="1"/>
  <c r="AT72" i="15"/>
  <c r="AS26" i="30" s="1"/>
  <c r="AT71" i="15"/>
  <c r="AS25" i="30" s="1"/>
  <c r="AV120" i="15"/>
  <c r="AV115" i="15"/>
  <c r="AV116" i="15"/>
  <c r="AU127" i="15"/>
  <c r="AU153" i="15" s="1"/>
  <c r="AW55" i="17"/>
  <c r="AV65" i="17"/>
  <c r="AR11" i="27"/>
  <c r="AQ13" i="27"/>
  <c r="AY26" i="27"/>
  <c r="AX28" i="27"/>
  <c r="AS65" i="22"/>
  <c r="AS53" i="22"/>
  <c r="AS59" i="22" s="1"/>
  <c r="AV71" i="22"/>
  <c r="AU80" i="22"/>
  <c r="AT47" i="22"/>
  <c r="AU39" i="22"/>
  <c r="AT33" i="18"/>
  <c r="AT45" i="18"/>
  <c r="AT51" i="18" s="1"/>
  <c r="AU38" i="18"/>
  <c r="AV55" i="18"/>
  <c r="AU64" i="18"/>
  <c r="AU37" i="17"/>
  <c r="AU44" i="17" s="1"/>
  <c r="AU50" i="17" s="1"/>
  <c r="AT34" i="17"/>
  <c r="AU48" i="16"/>
  <c r="AU71" i="16" s="1"/>
  <c r="AN89" i="30" l="1"/>
  <c r="AR30" i="30"/>
  <c r="AR34" i="30" s="1"/>
  <c r="AR79" i="30" s="1"/>
  <c r="AP79" i="11"/>
  <c r="AO88" i="30"/>
  <c r="AO89" i="30" s="1"/>
  <c r="AQ74" i="30"/>
  <c r="AQ76" i="30" s="1"/>
  <c r="AQ82" i="30" s="1"/>
  <c r="AT27" i="30"/>
  <c r="AT68" i="30"/>
  <c r="AT69" i="30" s="1"/>
  <c r="AT51" i="30"/>
  <c r="AT54" i="30" s="1"/>
  <c r="AT57" i="30" s="1"/>
  <c r="AT62" i="30"/>
  <c r="AT63" i="30" s="1"/>
  <c r="AT64" i="30" s="1"/>
  <c r="AT50" i="30"/>
  <c r="AR72" i="30"/>
  <c r="AR41" i="30"/>
  <c r="AR37" i="30"/>
  <c r="AR56" i="30"/>
  <c r="AR55" i="30" s="1"/>
  <c r="AR52" i="30"/>
  <c r="AR58" i="30" s="1"/>
  <c r="AR81" i="30" s="1"/>
  <c r="AQ40" i="30"/>
  <c r="AQ46" i="30" s="1"/>
  <c r="AQ80" i="30" s="1"/>
  <c r="AQ44" i="30"/>
  <c r="AQ43" i="30" s="1"/>
  <c r="AQ86" i="30" s="1"/>
  <c r="AS66" i="30"/>
  <c r="AS65" i="30"/>
  <c r="AS70" i="30"/>
  <c r="AS71" i="30"/>
  <c r="AS28" i="30"/>
  <c r="AS31" i="30" s="1"/>
  <c r="AS38" i="30"/>
  <c r="AS29" i="30"/>
  <c r="AS32" i="30" s="1"/>
  <c r="AS39" i="30"/>
  <c r="AS42" i="30" s="1"/>
  <c r="AS45" i="30" s="1"/>
  <c r="AP83" i="30"/>
  <c r="AP86" i="30"/>
  <c r="AS53" i="30"/>
  <c r="AS49" i="30"/>
  <c r="AG28" i="19"/>
  <c r="AG29" i="19" s="1"/>
  <c r="AS23" i="19"/>
  <c r="AT21" i="19"/>
  <c r="AS22" i="19"/>
  <c r="AS44" i="11"/>
  <c r="AV70" i="15"/>
  <c r="AU24" i="30" s="1"/>
  <c r="AU71" i="15"/>
  <c r="AT25" i="30" s="1"/>
  <c r="AU72" i="15"/>
  <c r="AT26" i="30" s="1"/>
  <c r="BH112" i="15"/>
  <c r="BH146" i="15"/>
  <c r="BH147" i="15"/>
  <c r="BJ62" i="15"/>
  <c r="BI91" i="15"/>
  <c r="BI92" i="15"/>
  <c r="BI90" i="15" s="1"/>
  <c r="BI111" i="15" s="1"/>
  <c r="BI69" i="15"/>
  <c r="AW120" i="15"/>
  <c r="AW115" i="15"/>
  <c r="AW116" i="15"/>
  <c r="AV127" i="15"/>
  <c r="AV153" i="15" s="1"/>
  <c r="AX55" i="17"/>
  <c r="AW65" i="17"/>
  <c r="AR13" i="27"/>
  <c r="AS11" i="27"/>
  <c r="AZ26" i="27"/>
  <c r="AY28" i="27"/>
  <c r="AT65" i="22"/>
  <c r="AT53" i="22"/>
  <c r="AT59" i="22" s="1"/>
  <c r="AU47" i="22"/>
  <c r="AV39" i="22"/>
  <c r="AV80" i="22"/>
  <c r="AW71" i="22"/>
  <c r="AU33" i="18"/>
  <c r="AV38" i="18"/>
  <c r="AU45" i="18"/>
  <c r="AU51" i="18" s="1"/>
  <c r="AV64" i="18"/>
  <c r="AW55" i="18"/>
  <c r="AV37" i="17"/>
  <c r="AV44" i="17" s="1"/>
  <c r="AV50" i="17" s="1"/>
  <c r="AU34" i="17"/>
  <c r="AP67" i="11" l="1"/>
  <c r="AR33" i="30"/>
  <c r="AQ83" i="30"/>
  <c r="AQ87" i="30" s="1"/>
  <c r="AR56" i="11" s="1"/>
  <c r="AS30" i="30"/>
  <c r="AS34" i="30" s="1"/>
  <c r="AS79" i="30" s="1"/>
  <c r="AS72" i="30"/>
  <c r="AS73" i="30" s="1"/>
  <c r="AS75" i="30" s="1"/>
  <c r="AR45" i="11"/>
  <c r="AT29" i="30"/>
  <c r="AT32" i="30" s="1"/>
  <c r="AT39" i="30"/>
  <c r="AT42" i="30" s="1"/>
  <c r="AT45" i="30" s="1"/>
  <c r="AP87" i="30"/>
  <c r="AQ56" i="11" s="1"/>
  <c r="AQ79" i="11"/>
  <c r="AT71" i="30"/>
  <c r="AT70" i="30"/>
  <c r="AT28" i="30"/>
  <c r="AT31" i="30" s="1"/>
  <c r="AT38" i="30"/>
  <c r="AR44" i="30"/>
  <c r="AR43" i="30" s="1"/>
  <c r="AR40" i="30"/>
  <c r="AR46" i="30" s="1"/>
  <c r="AR80" i="30" s="1"/>
  <c r="AT49" i="30"/>
  <c r="AT53" i="30"/>
  <c r="AS74" i="30"/>
  <c r="AS76" i="30" s="1"/>
  <c r="AS82" i="30" s="1"/>
  <c r="AR73" i="30"/>
  <c r="AR75" i="30" s="1"/>
  <c r="AR74" i="30"/>
  <c r="AR76" i="30" s="1"/>
  <c r="AR82" i="30" s="1"/>
  <c r="AU27" i="30"/>
  <c r="AU51" i="30"/>
  <c r="AU54" i="30" s="1"/>
  <c r="AU57" i="30" s="1"/>
  <c r="AU68" i="30"/>
  <c r="AU69" i="30" s="1"/>
  <c r="AU62" i="30"/>
  <c r="AU63" i="30" s="1"/>
  <c r="AU64" i="30" s="1"/>
  <c r="AU50" i="30"/>
  <c r="AS56" i="30"/>
  <c r="AS55" i="30" s="1"/>
  <c r="AS52" i="30"/>
  <c r="AS58" i="30" s="1"/>
  <c r="AS81" i="30" s="1"/>
  <c r="AQ45" i="11"/>
  <c r="AS41" i="30"/>
  <c r="AS37" i="30"/>
  <c r="AT66" i="30"/>
  <c r="AT65" i="30"/>
  <c r="AH27" i="19"/>
  <c r="AH28" i="19" s="1"/>
  <c r="AH29" i="19" s="1"/>
  <c r="AT23" i="19"/>
  <c r="AT22" i="19"/>
  <c r="AU21" i="19"/>
  <c r="AT44" i="11"/>
  <c r="BI112" i="15"/>
  <c r="BI146" i="15"/>
  <c r="BI147" i="15"/>
  <c r="BJ91" i="15"/>
  <c r="BJ92" i="15"/>
  <c r="BJ90" i="15" s="1"/>
  <c r="BJ111" i="15" s="1"/>
  <c r="BJ112" i="15" s="1"/>
  <c r="BJ69" i="15"/>
  <c r="AW70" i="15"/>
  <c r="AV24" i="30" s="1"/>
  <c r="AV72" i="15"/>
  <c r="AU26" i="30" s="1"/>
  <c r="AV71" i="15"/>
  <c r="AU25" i="30" s="1"/>
  <c r="AX120" i="15"/>
  <c r="AX115" i="15"/>
  <c r="AX116" i="15"/>
  <c r="AW127" i="15"/>
  <c r="AW153" i="15" s="1"/>
  <c r="AY55" i="17"/>
  <c r="AX65" i="17"/>
  <c r="AS13" i="27"/>
  <c r="AT11" i="27"/>
  <c r="BA26" i="27"/>
  <c r="AZ28" i="27"/>
  <c r="AU65" i="22"/>
  <c r="AU53" i="22"/>
  <c r="AU59" i="22" s="1"/>
  <c r="AV47" i="22"/>
  <c r="AW39" i="22"/>
  <c r="AX71" i="22"/>
  <c r="AW80" i="22"/>
  <c r="AV33" i="18"/>
  <c r="AW64" i="18"/>
  <c r="AX55" i="18"/>
  <c r="AV45" i="18"/>
  <c r="AV51" i="18" s="1"/>
  <c r="AW38" i="18"/>
  <c r="AW37" i="17"/>
  <c r="AW44" i="17" s="1"/>
  <c r="AW50" i="17" s="1"/>
  <c r="AV34" i="17"/>
  <c r="AP88" i="30" l="1"/>
  <c r="AQ67" i="11" s="1"/>
  <c r="AR83" i="30"/>
  <c r="AR87" i="30" s="1"/>
  <c r="AS56" i="11" s="1"/>
  <c r="AR79" i="11"/>
  <c r="AR86" i="30"/>
  <c r="AS45" i="11" s="1"/>
  <c r="AT30" i="30"/>
  <c r="AT34" i="30" s="1"/>
  <c r="AT79" i="30" s="1"/>
  <c r="AS33" i="30"/>
  <c r="AU29" i="30"/>
  <c r="AU32" i="30" s="1"/>
  <c r="AU39" i="30"/>
  <c r="AU42" i="30" s="1"/>
  <c r="AU45" i="30" s="1"/>
  <c r="AV62" i="30"/>
  <c r="AV63" i="30" s="1"/>
  <c r="AV64" i="30" s="1"/>
  <c r="AV27" i="30"/>
  <c r="AV68" i="30"/>
  <c r="AV69" i="30" s="1"/>
  <c r="AV51" i="30"/>
  <c r="AV54" i="30" s="1"/>
  <c r="AV57" i="30" s="1"/>
  <c r="AV50" i="30"/>
  <c r="AU71" i="30"/>
  <c r="AU70" i="30"/>
  <c r="AT72" i="30"/>
  <c r="AS40" i="30"/>
  <c r="AS46" i="30" s="1"/>
  <c r="AS80" i="30" s="1"/>
  <c r="AS83" i="30" s="1"/>
  <c r="AS44" i="30"/>
  <c r="AS43" i="30" s="1"/>
  <c r="AU28" i="30"/>
  <c r="AU31" i="30" s="1"/>
  <c r="AU38" i="30"/>
  <c r="AU53" i="30"/>
  <c r="AU49" i="30"/>
  <c r="AT56" i="30"/>
  <c r="AT55" i="30" s="1"/>
  <c r="AT52" i="30"/>
  <c r="AT58" i="30" s="1"/>
  <c r="AT81" i="30" s="1"/>
  <c r="AT41" i="30"/>
  <c r="AT37" i="30"/>
  <c r="AQ88" i="30"/>
  <c r="AU65" i="30"/>
  <c r="AU66" i="30"/>
  <c r="AT33" i="30"/>
  <c r="AI27" i="19"/>
  <c r="AI28" i="19" s="1"/>
  <c r="AI29" i="19" s="1"/>
  <c r="AV21" i="19"/>
  <c r="AU23" i="19"/>
  <c r="AU22" i="19"/>
  <c r="AU44" i="11"/>
  <c r="AX70" i="15"/>
  <c r="AW24" i="30" s="1"/>
  <c r="AW72" i="15"/>
  <c r="AV26" i="30" s="1"/>
  <c r="AW71" i="15"/>
  <c r="AV25" i="30" s="1"/>
  <c r="BJ146" i="15"/>
  <c r="BJ147" i="15"/>
  <c r="AY120" i="15"/>
  <c r="AY115" i="15"/>
  <c r="AY116" i="15"/>
  <c r="AX127" i="15"/>
  <c r="AX153" i="15" s="1"/>
  <c r="AZ55" i="17"/>
  <c r="AY65" i="17"/>
  <c r="AU11" i="27"/>
  <c r="AT13" i="27"/>
  <c r="BB26" i="27"/>
  <c r="BA28" i="27"/>
  <c r="AV65" i="22"/>
  <c r="AV53" i="22"/>
  <c r="AV59" i="22" s="1"/>
  <c r="AX80" i="22"/>
  <c r="AY71" i="22"/>
  <c r="AW47" i="22"/>
  <c r="AX39" i="22"/>
  <c r="AW33" i="18"/>
  <c r="AX64" i="18"/>
  <c r="AY55" i="18"/>
  <c r="AX38" i="18"/>
  <c r="AW45" i="18"/>
  <c r="AW51" i="18" s="1"/>
  <c r="AX37" i="17"/>
  <c r="AX44" i="17" s="1"/>
  <c r="AX50" i="17" s="1"/>
  <c r="AW34" i="17"/>
  <c r="AP89" i="30" l="1"/>
  <c r="AS79" i="11"/>
  <c r="AS86" i="30"/>
  <c r="AT45" i="11" s="1"/>
  <c r="AU30" i="30"/>
  <c r="AU33" i="30" s="1"/>
  <c r="AU72" i="30"/>
  <c r="AU73" i="30" s="1"/>
  <c r="AU75" i="30" s="1"/>
  <c r="AR88" i="30"/>
  <c r="AR89" i="30" s="1"/>
  <c r="AT40" i="30"/>
  <c r="AT46" i="30" s="1"/>
  <c r="AT80" i="30" s="1"/>
  <c r="AT44" i="30"/>
  <c r="AT43" i="30" s="1"/>
  <c r="AV66" i="30"/>
  <c r="AV65" i="30"/>
  <c r="AU56" i="30"/>
  <c r="AU55" i="30" s="1"/>
  <c r="AU52" i="30"/>
  <c r="AU58" i="30" s="1"/>
  <c r="AU81" i="30" s="1"/>
  <c r="AT73" i="30"/>
  <c r="AT75" i="30" s="1"/>
  <c r="AT74" i="30"/>
  <c r="AT76" i="30" s="1"/>
  <c r="AT82" i="30" s="1"/>
  <c r="AV29" i="30"/>
  <c r="AV32" i="30" s="1"/>
  <c r="AV39" i="30"/>
  <c r="AV42" i="30" s="1"/>
  <c r="AV45" i="30" s="1"/>
  <c r="AS87" i="30"/>
  <c r="AT56" i="11" s="1"/>
  <c r="AT79" i="11"/>
  <c r="AU74" i="30"/>
  <c r="AU76" i="30" s="1"/>
  <c r="AU82" i="30" s="1"/>
  <c r="AW27" i="30"/>
  <c r="AW68" i="30"/>
  <c r="AW69" i="30" s="1"/>
  <c r="AW62" i="30"/>
  <c r="AW63" i="30" s="1"/>
  <c r="AW64" i="30" s="1"/>
  <c r="AW50" i="30"/>
  <c r="AW51" i="30"/>
  <c r="AW54" i="30" s="1"/>
  <c r="AW57" i="30" s="1"/>
  <c r="AU41" i="30"/>
  <c r="AU37" i="30"/>
  <c r="AV49" i="30"/>
  <c r="AV53" i="30"/>
  <c r="AV28" i="30"/>
  <c r="AV31" i="30" s="1"/>
  <c r="AV38" i="30"/>
  <c r="AQ89" i="30"/>
  <c r="AR67" i="11"/>
  <c r="AV71" i="30"/>
  <c r="AV70" i="30"/>
  <c r="AW21" i="19"/>
  <c r="AV22" i="19"/>
  <c r="AV23" i="19"/>
  <c r="AJ27" i="19"/>
  <c r="AV44" i="11"/>
  <c r="AY70" i="15"/>
  <c r="AX24" i="30" s="1"/>
  <c r="AX72" i="15"/>
  <c r="AW26" i="30" s="1"/>
  <c r="AX71" i="15"/>
  <c r="AW25" i="30" s="1"/>
  <c r="AZ120" i="15"/>
  <c r="AZ115" i="15"/>
  <c r="AZ116" i="15"/>
  <c r="AY127" i="15"/>
  <c r="AY153" i="15" s="1"/>
  <c r="BA55" i="17"/>
  <c r="AZ65" i="17"/>
  <c r="AV11" i="27"/>
  <c r="AU13" i="27"/>
  <c r="BC26" i="27"/>
  <c r="BB28" i="27"/>
  <c r="AW65" i="22"/>
  <c r="AW53" i="22"/>
  <c r="AW59" i="22" s="1"/>
  <c r="AY39" i="22"/>
  <c r="AX47" i="22"/>
  <c r="AY80" i="22"/>
  <c r="AZ71" i="22"/>
  <c r="AX33" i="18"/>
  <c r="AY38" i="18"/>
  <c r="AX45" i="18"/>
  <c r="AX51" i="18" s="1"/>
  <c r="AY64" i="18"/>
  <c r="AZ55" i="18"/>
  <c r="AY37" i="17"/>
  <c r="AY44" i="17" s="1"/>
  <c r="AY50" i="17" s="1"/>
  <c r="AX34" i="17"/>
  <c r="AS67" i="11" l="1"/>
  <c r="AU34" i="30"/>
  <c r="AU79" i="30" s="1"/>
  <c r="AT86" i="30"/>
  <c r="AU45" i="11" s="1"/>
  <c r="AT83" i="30"/>
  <c r="AT87" i="30" s="1"/>
  <c r="AU56" i="11" s="1"/>
  <c r="AW66" i="30"/>
  <c r="AW65" i="30"/>
  <c r="AX27" i="30"/>
  <c r="AX51" i="30"/>
  <c r="AX54" i="30" s="1"/>
  <c r="AX57" i="30" s="1"/>
  <c r="AX68" i="30"/>
  <c r="AX69" i="30" s="1"/>
  <c r="AX62" i="30"/>
  <c r="AX63" i="30" s="1"/>
  <c r="AX64" i="30" s="1"/>
  <c r="AX50" i="30"/>
  <c r="AV72" i="30"/>
  <c r="AW70" i="30"/>
  <c r="AW71" i="30"/>
  <c r="AS88" i="30"/>
  <c r="AU40" i="30"/>
  <c r="AU46" i="30" s="1"/>
  <c r="AU80" i="30" s="1"/>
  <c r="AU83" i="30" s="1"/>
  <c r="AU44" i="30"/>
  <c r="AU43" i="30" s="1"/>
  <c r="AU86" i="30" s="1"/>
  <c r="AV30" i="30"/>
  <c r="AW29" i="30"/>
  <c r="AW32" i="30" s="1"/>
  <c r="AW39" i="30"/>
  <c r="AW42" i="30" s="1"/>
  <c r="AW45" i="30" s="1"/>
  <c r="AV41" i="30"/>
  <c r="AV37" i="30"/>
  <c r="AW28" i="30"/>
  <c r="AW31" i="30" s="1"/>
  <c r="AW38" i="30"/>
  <c r="AV56" i="30"/>
  <c r="AV55" i="30" s="1"/>
  <c r="AV52" i="30"/>
  <c r="AV58" i="30" s="1"/>
  <c r="AV81" i="30" s="1"/>
  <c r="AW53" i="30"/>
  <c r="AW49" i="30"/>
  <c r="AX21" i="19"/>
  <c r="AW22" i="19"/>
  <c r="AW23" i="19"/>
  <c r="AJ28" i="19"/>
  <c r="AJ29" i="19" s="1"/>
  <c r="AW44" i="11"/>
  <c r="AZ70" i="15"/>
  <c r="AY24" i="30" s="1"/>
  <c r="AY72" i="15"/>
  <c r="AX26" i="30" s="1"/>
  <c r="AY71" i="15"/>
  <c r="AX25" i="30" s="1"/>
  <c r="BA120" i="15"/>
  <c r="BA115" i="15"/>
  <c r="BA116" i="15"/>
  <c r="AZ127" i="15"/>
  <c r="AZ153" i="15" s="1"/>
  <c r="BB55" i="17"/>
  <c r="BA65" i="17"/>
  <c r="BD26" i="27"/>
  <c r="BC28" i="27"/>
  <c r="AV13" i="27"/>
  <c r="AW11" i="27"/>
  <c r="AX65" i="22"/>
  <c r="AX53" i="22"/>
  <c r="AX59" i="22" s="1"/>
  <c r="AZ80" i="22"/>
  <c r="BA71" i="22"/>
  <c r="AY47" i="22"/>
  <c r="AZ39" i="22"/>
  <c r="AY33" i="18"/>
  <c r="AZ64" i="18"/>
  <c r="BA55" i="18"/>
  <c r="AY45" i="18"/>
  <c r="AY51" i="18" s="1"/>
  <c r="AZ38" i="18"/>
  <c r="AZ37" i="17"/>
  <c r="AZ44" i="17" s="1"/>
  <c r="AZ50" i="17" s="1"/>
  <c r="AY34" i="17"/>
  <c r="AU79" i="11" l="1"/>
  <c r="AW30" i="30"/>
  <c r="AW34" i="30" s="1"/>
  <c r="AW79" i="30" s="1"/>
  <c r="AW72" i="30"/>
  <c r="AW74" i="30" s="1"/>
  <c r="AW76" i="30" s="1"/>
  <c r="AW82" i="30" s="1"/>
  <c r="AU87" i="30"/>
  <c r="AV56" i="11" s="1"/>
  <c r="AV79" i="11"/>
  <c r="AX38" i="30"/>
  <c r="AX28" i="30"/>
  <c r="AX31" i="30" s="1"/>
  <c r="AV45" i="11"/>
  <c r="AY27" i="30"/>
  <c r="AY68" i="30"/>
  <c r="AY69" i="30" s="1"/>
  <c r="AY62" i="30"/>
  <c r="AY63" i="30" s="1"/>
  <c r="AY64" i="30" s="1"/>
  <c r="AY50" i="30"/>
  <c r="AY51" i="30"/>
  <c r="AY54" i="30" s="1"/>
  <c r="AY57" i="30" s="1"/>
  <c r="AW41" i="30"/>
  <c r="AW37" i="30"/>
  <c r="AV44" i="30"/>
  <c r="AV43" i="30" s="1"/>
  <c r="AV40" i="30"/>
  <c r="AV46" i="30" s="1"/>
  <c r="AV80" i="30" s="1"/>
  <c r="AX71" i="30"/>
  <c r="AX70" i="30"/>
  <c r="AT88" i="30"/>
  <c r="AW56" i="30"/>
  <c r="AW55" i="30" s="1"/>
  <c r="AW52" i="30"/>
  <c r="AW58" i="30" s="1"/>
  <c r="AW81" i="30" s="1"/>
  <c r="AV34" i="30"/>
  <c r="AV79" i="30" s="1"/>
  <c r="AV33" i="30"/>
  <c r="AV73" i="30"/>
  <c r="AV75" i="30" s="1"/>
  <c r="AV74" i="30"/>
  <c r="AV76" i="30" s="1"/>
  <c r="AV82" i="30" s="1"/>
  <c r="AS89" i="30"/>
  <c r="AT67" i="11"/>
  <c r="AX53" i="30"/>
  <c r="AX49" i="30"/>
  <c r="AX29" i="30"/>
  <c r="AX32" i="30" s="1"/>
  <c r="AX39" i="30"/>
  <c r="AX42" i="30" s="1"/>
  <c r="AX45" i="30" s="1"/>
  <c r="AW73" i="30"/>
  <c r="AW75" i="30" s="1"/>
  <c r="AX65" i="30"/>
  <c r="AX66" i="30"/>
  <c r="AK27" i="19"/>
  <c r="AY21" i="19"/>
  <c r="AX23" i="19"/>
  <c r="AX22" i="19"/>
  <c r="AX44" i="11"/>
  <c r="BA70" i="15"/>
  <c r="AZ24" i="30" s="1"/>
  <c r="AZ72" i="15"/>
  <c r="AY26" i="30" s="1"/>
  <c r="AZ71" i="15"/>
  <c r="AY25" i="30" s="1"/>
  <c r="BB120" i="15"/>
  <c r="BB115" i="15"/>
  <c r="BB116" i="15"/>
  <c r="BA127" i="15"/>
  <c r="BA153" i="15" s="1"/>
  <c r="BC55" i="17"/>
  <c r="BB65" i="17"/>
  <c r="AX11" i="27"/>
  <c r="AW13" i="27"/>
  <c r="BE26" i="27"/>
  <c r="BD28" i="27"/>
  <c r="AY65" i="22"/>
  <c r="AY53" i="22"/>
  <c r="AY59" i="22" s="1"/>
  <c r="AZ47" i="22"/>
  <c r="BA39" i="22"/>
  <c r="BA80" i="22"/>
  <c r="BB71" i="22"/>
  <c r="AZ33" i="18"/>
  <c r="AZ45" i="18"/>
  <c r="AZ51" i="18" s="1"/>
  <c r="BA38" i="18"/>
  <c r="BB55" i="18"/>
  <c r="BA64" i="18"/>
  <c r="BA37" i="17"/>
  <c r="BA44" i="17" s="1"/>
  <c r="BA50" i="17" s="1"/>
  <c r="AZ34" i="17"/>
  <c r="AW33" i="30" l="1"/>
  <c r="AV83" i="30"/>
  <c r="AV87" i="30" s="1"/>
  <c r="AW56" i="11" s="1"/>
  <c r="AU88" i="30"/>
  <c r="AV67" i="11" s="1"/>
  <c r="AY28" i="30"/>
  <c r="AY31" i="30" s="1"/>
  <c r="AY38" i="30"/>
  <c r="AW44" i="30"/>
  <c r="AW43" i="30" s="1"/>
  <c r="AW40" i="30"/>
  <c r="AW46" i="30" s="1"/>
  <c r="AW80" i="30" s="1"/>
  <c r="AW83" i="30" s="1"/>
  <c r="AY70" i="30"/>
  <c r="AY71" i="30"/>
  <c r="AX30" i="30"/>
  <c r="AY29" i="30"/>
  <c r="AY32" i="30" s="1"/>
  <c r="AY39" i="30"/>
  <c r="AY42" i="30" s="1"/>
  <c r="AY45" i="30" s="1"/>
  <c r="AX56" i="30"/>
  <c r="AX55" i="30" s="1"/>
  <c r="AX52" i="30"/>
  <c r="AX58" i="30" s="1"/>
  <c r="AX81" i="30" s="1"/>
  <c r="AX41" i="30"/>
  <c r="AX37" i="30"/>
  <c r="AZ62" i="30"/>
  <c r="AZ63" i="30" s="1"/>
  <c r="AZ64" i="30" s="1"/>
  <c r="AZ27" i="30"/>
  <c r="AZ68" i="30"/>
  <c r="AZ69" i="30" s="1"/>
  <c r="AZ51" i="30"/>
  <c r="AZ54" i="30" s="1"/>
  <c r="AZ57" i="30" s="1"/>
  <c r="AZ50" i="30"/>
  <c r="AT89" i="30"/>
  <c r="AU67" i="11"/>
  <c r="AY53" i="30"/>
  <c r="AY49" i="30"/>
  <c r="AV86" i="30"/>
  <c r="AX72" i="30"/>
  <c r="AY65" i="30"/>
  <c r="AY66" i="30"/>
  <c r="AK28" i="19"/>
  <c r="AK29" i="19" s="1"/>
  <c r="AZ21" i="19"/>
  <c r="AY23" i="19"/>
  <c r="AY22" i="19"/>
  <c r="AY44" i="11"/>
  <c r="BB70" i="15"/>
  <c r="BA24" i="30" s="1"/>
  <c r="BA71" i="15"/>
  <c r="AZ25" i="30" s="1"/>
  <c r="BA72" i="15"/>
  <c r="AZ26" i="30" s="1"/>
  <c r="BC120" i="15"/>
  <c r="BC115" i="15"/>
  <c r="BC116" i="15"/>
  <c r="BB127" i="15"/>
  <c r="BB153" i="15" s="1"/>
  <c r="BD55" i="17"/>
  <c r="BD65" i="17" s="1"/>
  <c r="BC65" i="17"/>
  <c r="BF26" i="27"/>
  <c r="BE28" i="27"/>
  <c r="AX13" i="27"/>
  <c r="AY11" i="27"/>
  <c r="AZ65" i="22"/>
  <c r="AZ53" i="22"/>
  <c r="AZ59" i="22" s="1"/>
  <c r="BA47" i="22"/>
  <c r="BB39" i="22"/>
  <c r="BB80" i="22"/>
  <c r="BC71" i="22"/>
  <c r="BA33" i="18"/>
  <c r="BB64" i="18"/>
  <c r="BC55" i="18"/>
  <c r="BB38" i="18"/>
  <c r="BA45" i="18"/>
  <c r="BA51" i="18" s="1"/>
  <c r="BB37" i="17"/>
  <c r="BB44" i="17" s="1"/>
  <c r="BB50" i="17" s="1"/>
  <c r="BA34" i="17"/>
  <c r="AU89" i="30" l="1"/>
  <c r="AW86" i="30"/>
  <c r="AX45" i="11" s="1"/>
  <c r="AW79" i="11"/>
  <c r="AY72" i="30"/>
  <c r="AY74" i="30" s="1"/>
  <c r="AY76" i="30" s="1"/>
  <c r="AY82" i="30" s="1"/>
  <c r="AW87" i="30"/>
  <c r="AX56" i="11" s="1"/>
  <c r="E16" i="11" s="1"/>
  <c r="L10" i="11" s="1"/>
  <c r="AX79" i="11"/>
  <c r="AZ39" i="30"/>
  <c r="AZ42" i="30" s="1"/>
  <c r="AZ45" i="30" s="1"/>
  <c r="AZ29" i="30"/>
  <c r="AZ32" i="30" s="1"/>
  <c r="AX73" i="30"/>
  <c r="AX75" i="30" s="1"/>
  <c r="AX74" i="30"/>
  <c r="AX76" i="30" s="1"/>
  <c r="AX82" i="30" s="1"/>
  <c r="AZ70" i="30"/>
  <c r="AZ71" i="30"/>
  <c r="AX33" i="30"/>
  <c r="AX34" i="30"/>
  <c r="AX79" i="30" s="1"/>
  <c r="AZ28" i="30"/>
  <c r="AZ31" i="30" s="1"/>
  <c r="AZ38" i="30"/>
  <c r="AW45" i="11"/>
  <c r="AV88" i="30"/>
  <c r="AY56" i="30"/>
  <c r="AY55" i="30" s="1"/>
  <c r="AY52" i="30"/>
  <c r="AY58" i="30" s="1"/>
  <c r="AY81" i="30" s="1"/>
  <c r="AY37" i="30"/>
  <c r="AY41" i="30"/>
  <c r="AX44" i="30"/>
  <c r="AX43" i="30" s="1"/>
  <c r="AX40" i="30"/>
  <c r="AX46" i="30" s="1"/>
  <c r="AX80" i="30" s="1"/>
  <c r="BA27" i="30"/>
  <c r="BA62" i="30"/>
  <c r="BA63" i="30" s="1"/>
  <c r="BA64" i="30" s="1"/>
  <c r="BA50" i="30"/>
  <c r="BA51" i="30"/>
  <c r="BA54" i="30" s="1"/>
  <c r="BA57" i="30" s="1"/>
  <c r="BA68" i="30"/>
  <c r="BA69" i="30" s="1"/>
  <c r="AZ53" i="30"/>
  <c r="AZ49" i="30"/>
  <c r="AZ66" i="30"/>
  <c r="AZ65" i="30"/>
  <c r="AY30" i="30"/>
  <c r="AL27" i="19"/>
  <c r="AL28" i="19" s="1"/>
  <c r="AL29" i="19" s="1"/>
  <c r="BA21" i="19"/>
  <c r="AZ22" i="19"/>
  <c r="AZ23" i="19"/>
  <c r="AZ44" i="11"/>
  <c r="BC70" i="15"/>
  <c r="BB24" i="30" s="1"/>
  <c r="BB72" i="15"/>
  <c r="BA26" i="30" s="1"/>
  <c r="BB71" i="15"/>
  <c r="BA25" i="30" s="1"/>
  <c r="BD120" i="15"/>
  <c r="BD115" i="15"/>
  <c r="BD116" i="15"/>
  <c r="BC127" i="15"/>
  <c r="BC153" i="15" s="1"/>
  <c r="AZ11" i="27"/>
  <c r="AY13" i="27"/>
  <c r="BG26" i="27"/>
  <c r="BF28" i="27"/>
  <c r="BA65" i="22"/>
  <c r="BA53" i="22"/>
  <c r="BA59" i="22" s="1"/>
  <c r="BB47" i="22"/>
  <c r="BC39" i="22"/>
  <c r="BC80" i="22"/>
  <c r="BD71" i="22"/>
  <c r="BD80" i="22" s="1"/>
  <c r="BB33" i="18"/>
  <c r="BD55" i="18"/>
  <c r="BD64" i="18" s="1"/>
  <c r="BC64" i="18"/>
  <c r="BC38" i="18"/>
  <c r="BB45" i="18"/>
  <c r="BB51" i="18" s="1"/>
  <c r="BC37" i="17"/>
  <c r="BC44" i="17" s="1"/>
  <c r="BC50" i="17" s="1"/>
  <c r="BB34" i="17"/>
  <c r="E91" i="11" l="1"/>
  <c r="AY73" i="30"/>
  <c r="AY75" i="30" s="1"/>
  <c r="BB27" i="30"/>
  <c r="BB51" i="30"/>
  <c r="BB54" i="30" s="1"/>
  <c r="BB57" i="30" s="1"/>
  <c r="BB50" i="30"/>
  <c r="BB62" i="30"/>
  <c r="BB63" i="30" s="1"/>
  <c r="BB64" i="30" s="1"/>
  <c r="BB68" i="30"/>
  <c r="BB69" i="30" s="1"/>
  <c r="AY33" i="30"/>
  <c r="AY34" i="30"/>
  <c r="AY79" i="30" s="1"/>
  <c r="AZ52" i="30"/>
  <c r="AZ58" i="30" s="1"/>
  <c r="AZ81" i="30" s="1"/>
  <c r="AZ56" i="30"/>
  <c r="AZ55" i="30" s="1"/>
  <c r="BA66" i="30"/>
  <c r="BA65" i="30"/>
  <c r="AW67" i="11"/>
  <c r="AV89" i="30"/>
  <c r="AX83" i="30"/>
  <c r="E5" i="11"/>
  <c r="L9" i="11" s="1"/>
  <c r="BA70" i="30"/>
  <c r="BA71" i="30"/>
  <c r="AX86" i="30"/>
  <c r="AW88" i="30"/>
  <c r="AY40" i="30"/>
  <c r="AY46" i="30" s="1"/>
  <c r="AY80" i="30" s="1"/>
  <c r="AY44" i="30"/>
  <c r="AY43" i="30" s="1"/>
  <c r="AZ37" i="30"/>
  <c r="AZ41" i="30"/>
  <c r="AZ30" i="30"/>
  <c r="BA28" i="30"/>
  <c r="BA31" i="30" s="1"/>
  <c r="BA38" i="30"/>
  <c r="BA29" i="30"/>
  <c r="BA32" i="30" s="1"/>
  <c r="BA39" i="30"/>
  <c r="BA42" i="30" s="1"/>
  <c r="BA45" i="30" s="1"/>
  <c r="BA53" i="30"/>
  <c r="BA49" i="30"/>
  <c r="AZ72" i="30"/>
  <c r="AM27" i="19"/>
  <c r="BA23" i="19"/>
  <c r="BB21" i="19"/>
  <c r="BA22" i="19"/>
  <c r="BA44" i="11"/>
  <c r="BD70" i="15"/>
  <c r="BC24" i="30" s="1"/>
  <c r="BC72" i="15"/>
  <c r="BB26" i="30" s="1"/>
  <c r="BC71" i="15"/>
  <c r="BB25" i="30" s="1"/>
  <c r="BE120" i="15"/>
  <c r="BE115" i="15"/>
  <c r="BE116" i="15"/>
  <c r="BD127" i="15"/>
  <c r="BD153" i="15" s="1"/>
  <c r="BH26" i="27"/>
  <c r="BG28" i="27"/>
  <c r="BA11" i="27"/>
  <c r="AZ13" i="27"/>
  <c r="BB65" i="22"/>
  <c r="BB53" i="22"/>
  <c r="BB59" i="22" s="1"/>
  <c r="BC47" i="22"/>
  <c r="BD39" i="22"/>
  <c r="BC33" i="18"/>
  <c r="BD38" i="18"/>
  <c r="BC45" i="18"/>
  <c r="BC51" i="18" s="1"/>
  <c r="BD37" i="17"/>
  <c r="BC34" i="17"/>
  <c r="AY83" i="30" l="1"/>
  <c r="AY87" i="30" s="1"/>
  <c r="AZ56" i="11" s="1"/>
  <c r="BA30" i="30"/>
  <c r="BA33" i="30" s="1"/>
  <c r="AY86" i="30"/>
  <c r="AZ45" i="11" s="1"/>
  <c r="BB29" i="30"/>
  <c r="BB32" i="30" s="1"/>
  <c r="BB39" i="30"/>
  <c r="BB42" i="30" s="1"/>
  <c r="BB45" i="30" s="1"/>
  <c r="BC27" i="30"/>
  <c r="BC68" i="30"/>
  <c r="BC69" i="30" s="1"/>
  <c r="BC62" i="30"/>
  <c r="BC63" i="30" s="1"/>
  <c r="BC64" i="30" s="1"/>
  <c r="BC50" i="30"/>
  <c r="BC51" i="30"/>
  <c r="BC54" i="30" s="1"/>
  <c r="BC57" i="30" s="1"/>
  <c r="BA41" i="30"/>
  <c r="BA37" i="30"/>
  <c r="AY45" i="11"/>
  <c r="BA72" i="30"/>
  <c r="BB66" i="30"/>
  <c r="BB65" i="30"/>
  <c r="BA56" i="30"/>
  <c r="BA55" i="30" s="1"/>
  <c r="BA52" i="30"/>
  <c r="BA58" i="30" s="1"/>
  <c r="BA81" i="30" s="1"/>
  <c r="BB53" i="30"/>
  <c r="BB49" i="30"/>
  <c r="AZ34" i="30"/>
  <c r="AZ79" i="30" s="1"/>
  <c r="AZ33" i="30"/>
  <c r="BB38" i="30"/>
  <c r="BB28" i="30"/>
  <c r="BB31" i="30" s="1"/>
  <c r="AZ74" i="30"/>
  <c r="AZ76" i="30" s="1"/>
  <c r="AZ82" i="30" s="1"/>
  <c r="AZ73" i="30"/>
  <c r="AZ75" i="30" s="1"/>
  <c r="AZ44" i="30"/>
  <c r="AZ43" i="30" s="1"/>
  <c r="AZ40" i="30"/>
  <c r="AZ46" i="30" s="1"/>
  <c r="AZ80" i="30" s="1"/>
  <c r="AX67" i="11"/>
  <c r="E27" i="11" s="1"/>
  <c r="AW89" i="30"/>
  <c r="AX87" i="30"/>
  <c r="AY56" i="11" s="1"/>
  <c r="AY79" i="11"/>
  <c r="BB71" i="30"/>
  <c r="BB70" i="30"/>
  <c r="BB23" i="19"/>
  <c r="BB22" i="19"/>
  <c r="BC21" i="19"/>
  <c r="AM28" i="19"/>
  <c r="AM29" i="19" s="1"/>
  <c r="BB44" i="11"/>
  <c r="BE70" i="15"/>
  <c r="BD24" i="30" s="1"/>
  <c r="BD72" i="15"/>
  <c r="BC26" i="30" s="1"/>
  <c r="BD71" i="15"/>
  <c r="BC25" i="30" s="1"/>
  <c r="BF120" i="15"/>
  <c r="BF115" i="15"/>
  <c r="BF116" i="15"/>
  <c r="BE127" i="15"/>
  <c r="BE153" i="15" s="1"/>
  <c r="BD34" i="17"/>
  <c r="BD44" i="17"/>
  <c r="BD50" i="17" s="1"/>
  <c r="BA13" i="27"/>
  <c r="BB11" i="27"/>
  <c r="BI26" i="27"/>
  <c r="BH28" i="27"/>
  <c r="BC65" i="22"/>
  <c r="BC53" i="22"/>
  <c r="BC59" i="22" s="1"/>
  <c r="BD47" i="22"/>
  <c r="BD33" i="18"/>
  <c r="BD45" i="18"/>
  <c r="BD51" i="18" s="1"/>
  <c r="BB72" i="30" l="1"/>
  <c r="BB73" i="30" s="1"/>
  <c r="BB75" i="30" s="1"/>
  <c r="BB30" i="30"/>
  <c r="BB33" i="30" s="1"/>
  <c r="BA34" i="30"/>
  <c r="BA79" i="30" s="1"/>
  <c r="AZ79" i="11"/>
  <c r="AZ83" i="30"/>
  <c r="BA79" i="11" s="1"/>
  <c r="BB74" i="30"/>
  <c r="BB76" i="30" s="1"/>
  <c r="BB82" i="30" s="1"/>
  <c r="AZ86" i="30"/>
  <c r="BA74" i="30"/>
  <c r="BA76" i="30" s="1"/>
  <c r="BA82" i="30" s="1"/>
  <c r="BA73" i="30"/>
  <c r="BA75" i="30" s="1"/>
  <c r="BA44" i="30"/>
  <c r="BA43" i="30" s="1"/>
  <c r="BA40" i="30"/>
  <c r="BA46" i="30" s="1"/>
  <c r="BA80" i="30" s="1"/>
  <c r="BC70" i="30"/>
  <c r="BC71" i="30"/>
  <c r="AY88" i="30"/>
  <c r="AX88" i="30"/>
  <c r="BC53" i="30"/>
  <c r="BC49" i="30"/>
  <c r="BC28" i="30"/>
  <c r="BC31" i="30" s="1"/>
  <c r="BC38" i="30"/>
  <c r="BC29" i="30"/>
  <c r="BC32" i="30" s="1"/>
  <c r="BC39" i="30"/>
  <c r="BC42" i="30" s="1"/>
  <c r="BC45" i="30" s="1"/>
  <c r="BD62" i="30"/>
  <c r="BD63" i="30" s="1"/>
  <c r="BD64" i="30" s="1"/>
  <c r="BD68" i="30"/>
  <c r="BD69" i="30" s="1"/>
  <c r="BD27" i="30"/>
  <c r="BD51" i="30"/>
  <c r="BD54" i="30" s="1"/>
  <c r="BD57" i="30" s="1"/>
  <c r="BD50" i="30"/>
  <c r="BB41" i="30"/>
  <c r="BB37" i="30"/>
  <c r="BB56" i="30"/>
  <c r="BB55" i="30" s="1"/>
  <c r="BB52" i="30"/>
  <c r="BB58" i="30" s="1"/>
  <c r="BB81" i="30" s="1"/>
  <c r="BC65" i="30"/>
  <c r="BC66" i="30"/>
  <c r="AN27" i="19"/>
  <c r="AN28" i="19" s="1"/>
  <c r="AN29" i="19" s="1"/>
  <c r="BC22" i="19"/>
  <c r="BD21" i="19"/>
  <c r="BC23" i="19"/>
  <c r="BC44" i="11"/>
  <c r="BF70" i="15"/>
  <c r="BE24" i="30" s="1"/>
  <c r="BE71" i="15"/>
  <c r="BD25" i="30" s="1"/>
  <c r="BE72" i="15"/>
  <c r="BD26" i="30" s="1"/>
  <c r="BG120" i="15"/>
  <c r="BG115" i="15"/>
  <c r="BG116" i="15"/>
  <c r="BF127" i="15"/>
  <c r="BF153" i="15" s="1"/>
  <c r="BI28" i="27"/>
  <c r="BJ26" i="27"/>
  <c r="BB13" i="27"/>
  <c r="BC11" i="27"/>
  <c r="BD65" i="22"/>
  <c r="BD53" i="22"/>
  <c r="BD59" i="22" s="1"/>
  <c r="AZ87" i="30" l="1"/>
  <c r="BA56" i="11" s="1"/>
  <c r="BB34" i="30"/>
  <c r="BB79" i="30" s="1"/>
  <c r="BC30" i="30"/>
  <c r="BC33" i="30" s="1"/>
  <c r="BC72" i="30"/>
  <c r="BC74" i="30" s="1"/>
  <c r="BC76" i="30" s="1"/>
  <c r="BC82" i="30" s="1"/>
  <c r="BA83" i="30"/>
  <c r="BA87" i="30" s="1"/>
  <c r="BB56" i="11" s="1"/>
  <c r="BD71" i="30"/>
  <c r="BD70" i="30"/>
  <c r="AZ67" i="11"/>
  <c r="AY89" i="30"/>
  <c r="BD66" i="30"/>
  <c r="BD65" i="30"/>
  <c r="AY67" i="11"/>
  <c r="AX89" i="30"/>
  <c r="BA86" i="30"/>
  <c r="BD28" i="30"/>
  <c r="BD31" i="30" s="1"/>
  <c r="BD38" i="30"/>
  <c r="BB40" i="30"/>
  <c r="BB46" i="30" s="1"/>
  <c r="BB80" i="30" s="1"/>
  <c r="BB44" i="30"/>
  <c r="BB43" i="30" s="1"/>
  <c r="BB86" i="30" s="1"/>
  <c r="BC41" i="30"/>
  <c r="BC37" i="30"/>
  <c r="BD29" i="30"/>
  <c r="BD32" i="30" s="1"/>
  <c r="BD39" i="30"/>
  <c r="BD42" i="30" s="1"/>
  <c r="BD45" i="30" s="1"/>
  <c r="BD49" i="30"/>
  <c r="BD53" i="30"/>
  <c r="BE27" i="30"/>
  <c r="BE50" i="30"/>
  <c r="BE68" i="30"/>
  <c r="BE69" i="30" s="1"/>
  <c r="BE51" i="30"/>
  <c r="BE54" i="30" s="1"/>
  <c r="BE57" i="30" s="1"/>
  <c r="BE62" i="30"/>
  <c r="BE63" i="30" s="1"/>
  <c r="BE64" i="30" s="1"/>
  <c r="BC56" i="30"/>
  <c r="BC55" i="30" s="1"/>
  <c r="BC52" i="30"/>
  <c r="BC58" i="30" s="1"/>
  <c r="BC81" i="30" s="1"/>
  <c r="BA45" i="11"/>
  <c r="AZ88" i="30"/>
  <c r="BD22" i="19"/>
  <c r="BD23" i="19"/>
  <c r="BE21" i="19"/>
  <c r="AO27" i="19"/>
  <c r="BD44" i="11"/>
  <c r="BG70" i="15"/>
  <c r="BF24" i="30" s="1"/>
  <c r="BF72" i="15"/>
  <c r="BE26" i="30" s="1"/>
  <c r="BF71" i="15"/>
  <c r="BE25" i="30" s="1"/>
  <c r="BH120" i="15"/>
  <c r="BH115" i="15"/>
  <c r="BH116" i="15"/>
  <c r="BG127" i="15"/>
  <c r="BG153" i="15" s="1"/>
  <c r="BC13" i="27"/>
  <c r="BD11" i="27"/>
  <c r="BK26" i="27"/>
  <c r="BJ28" i="27"/>
  <c r="BB83" i="30" l="1"/>
  <c r="BC79" i="11" s="1"/>
  <c r="BC34" i="30"/>
  <c r="BC79" i="30" s="1"/>
  <c r="BB79" i="11"/>
  <c r="BC73" i="30"/>
  <c r="BC75" i="30" s="1"/>
  <c r="BE29" i="30"/>
  <c r="BE32" i="30" s="1"/>
  <c r="BE39" i="30"/>
  <c r="BE42" i="30" s="1"/>
  <c r="BE45" i="30" s="1"/>
  <c r="AZ89" i="30"/>
  <c r="BA67" i="11"/>
  <c r="BE66" i="30"/>
  <c r="BE65" i="30"/>
  <c r="BD30" i="30"/>
  <c r="BB45" i="11"/>
  <c r="BA88" i="30"/>
  <c r="BD72" i="30"/>
  <c r="BD56" i="30"/>
  <c r="BD55" i="30" s="1"/>
  <c r="BD52" i="30"/>
  <c r="BD58" i="30" s="1"/>
  <c r="BD81" i="30" s="1"/>
  <c r="BC45" i="11"/>
  <c r="BE70" i="30"/>
  <c r="BE71" i="30"/>
  <c r="BC44" i="30"/>
  <c r="BC43" i="30" s="1"/>
  <c r="BC40" i="30"/>
  <c r="BC46" i="30" s="1"/>
  <c r="BC80" i="30" s="1"/>
  <c r="BD41" i="30"/>
  <c r="BD37" i="30"/>
  <c r="BF27" i="30"/>
  <c r="BF68" i="30"/>
  <c r="BF69" i="30" s="1"/>
  <c r="BF62" i="30"/>
  <c r="BF63" i="30" s="1"/>
  <c r="BF64" i="30" s="1"/>
  <c r="BF51" i="30"/>
  <c r="BF54" i="30" s="1"/>
  <c r="BF57" i="30" s="1"/>
  <c r="BF50" i="30"/>
  <c r="BE28" i="30"/>
  <c r="BE31" i="30" s="1"/>
  <c r="BE38" i="30"/>
  <c r="BE53" i="30"/>
  <c r="BE49" i="30"/>
  <c r="BF21" i="19"/>
  <c r="BE22" i="19"/>
  <c r="BE23" i="19"/>
  <c r="AO28" i="19"/>
  <c r="AO29" i="19" s="1"/>
  <c r="BE44" i="11"/>
  <c r="BH70" i="15"/>
  <c r="BG24" i="30" s="1"/>
  <c r="BG72" i="15"/>
  <c r="BF26" i="30" s="1"/>
  <c r="BG71" i="15"/>
  <c r="BF25" i="30" s="1"/>
  <c r="BI120" i="15"/>
  <c r="BI115" i="15"/>
  <c r="BI116" i="15"/>
  <c r="BH127" i="15"/>
  <c r="BH153" i="15" s="1"/>
  <c r="BE11" i="27"/>
  <c r="BD13" i="27"/>
  <c r="BL26" i="27"/>
  <c r="BL28" i="27" s="1"/>
  <c r="BK28" i="27"/>
  <c r="BB87" i="30" l="1"/>
  <c r="BC83" i="30"/>
  <c r="BC87" i="30" s="1"/>
  <c r="BD56" i="11" s="1"/>
  <c r="BE30" i="30"/>
  <c r="BE33" i="30" s="1"/>
  <c r="BC86" i="30"/>
  <c r="BD45" i="11" s="1"/>
  <c r="BE72" i="30"/>
  <c r="BE74" i="30" s="1"/>
  <c r="BE76" i="30" s="1"/>
  <c r="BE82" i="30" s="1"/>
  <c r="BF29" i="30"/>
  <c r="BF32" i="30" s="1"/>
  <c r="BF39" i="30"/>
  <c r="BF42" i="30" s="1"/>
  <c r="BF45" i="30" s="1"/>
  <c r="BE56" i="30"/>
  <c r="BE55" i="30" s="1"/>
  <c r="BE52" i="30"/>
  <c r="BE58" i="30" s="1"/>
  <c r="BE81" i="30" s="1"/>
  <c r="BA89" i="30"/>
  <c r="BB67" i="11"/>
  <c r="BD34" i="30"/>
  <c r="BD79" i="30" s="1"/>
  <c r="BD33" i="30"/>
  <c r="BG27" i="30"/>
  <c r="BG62" i="30"/>
  <c r="BG63" i="30" s="1"/>
  <c r="BG64" i="30" s="1"/>
  <c r="BG50" i="30"/>
  <c r="BG51" i="30"/>
  <c r="BG54" i="30" s="1"/>
  <c r="BG57" i="30" s="1"/>
  <c r="BG68" i="30"/>
  <c r="BG69" i="30" s="1"/>
  <c r="BE41" i="30"/>
  <c r="BE37" i="30"/>
  <c r="BF65" i="30"/>
  <c r="BF66" i="30"/>
  <c r="BF70" i="30"/>
  <c r="BF71" i="30"/>
  <c r="BF38" i="30"/>
  <c r="BF28" i="30"/>
  <c r="BF31" i="30" s="1"/>
  <c r="BF53" i="30"/>
  <c r="BF49" i="30"/>
  <c r="BD44" i="30"/>
  <c r="BD43" i="30" s="1"/>
  <c r="BD40" i="30"/>
  <c r="BD46" i="30" s="1"/>
  <c r="BD80" i="30" s="1"/>
  <c r="BE73" i="30"/>
  <c r="BE75" i="30" s="1"/>
  <c r="BD74" i="30"/>
  <c r="BD76" i="30" s="1"/>
  <c r="BD82" i="30" s="1"/>
  <c r="BD73" i="30"/>
  <c r="BD75" i="30" s="1"/>
  <c r="AP27" i="19"/>
  <c r="AP28" i="19" s="1"/>
  <c r="AP29" i="19" s="1"/>
  <c r="BF22" i="19"/>
  <c r="BF23" i="19"/>
  <c r="BG21" i="19"/>
  <c r="BF44" i="11"/>
  <c r="BI70" i="15"/>
  <c r="BH24" i="30" s="1"/>
  <c r="BH72" i="15"/>
  <c r="BG26" i="30" s="1"/>
  <c r="BH71" i="15"/>
  <c r="BG25" i="30" s="1"/>
  <c r="BJ120" i="15"/>
  <c r="BJ115" i="15"/>
  <c r="BJ116" i="15"/>
  <c r="BI127" i="15"/>
  <c r="BI153" i="15" s="1"/>
  <c r="BE13" i="27"/>
  <c r="BF11" i="27"/>
  <c r="BC56" i="11" l="1"/>
  <c r="BB88" i="30"/>
  <c r="BD79" i="11"/>
  <c r="BE34" i="30"/>
  <c r="BE79" i="30" s="1"/>
  <c r="BF30" i="30"/>
  <c r="BF33" i="30" s="1"/>
  <c r="BC88" i="30"/>
  <c r="BC89" i="30" s="1"/>
  <c r="BD86" i="30"/>
  <c r="BE45" i="11" s="1"/>
  <c r="BF72" i="30"/>
  <c r="BF73" i="30" s="1"/>
  <c r="BF75" i="30" s="1"/>
  <c r="BG53" i="30"/>
  <c r="BG49" i="30"/>
  <c r="BD83" i="30"/>
  <c r="BF41" i="30"/>
  <c r="BF37" i="30"/>
  <c r="BE44" i="30"/>
  <c r="BE43" i="30" s="1"/>
  <c r="BE86" i="30" s="1"/>
  <c r="BE40" i="30"/>
  <c r="BE46" i="30" s="1"/>
  <c r="BE80" i="30" s="1"/>
  <c r="BG29" i="30"/>
  <c r="BG32" i="30" s="1"/>
  <c r="BG39" i="30"/>
  <c r="BG42" i="30" s="1"/>
  <c r="BG45" i="30" s="1"/>
  <c r="BF56" i="30"/>
  <c r="BF55" i="30" s="1"/>
  <c r="BF52" i="30"/>
  <c r="BF58" i="30" s="1"/>
  <c r="BF81" i="30" s="1"/>
  <c r="BH62" i="30"/>
  <c r="BH63" i="30" s="1"/>
  <c r="BH64" i="30" s="1"/>
  <c r="BH50" i="30"/>
  <c r="BH27" i="30"/>
  <c r="BH68" i="30"/>
  <c r="BH69" i="30" s="1"/>
  <c r="BH51" i="30"/>
  <c r="BH54" i="30" s="1"/>
  <c r="BH57" i="30" s="1"/>
  <c r="BG65" i="30"/>
  <c r="BG66" i="30"/>
  <c r="BG28" i="30"/>
  <c r="BG31" i="30" s="1"/>
  <c r="BG30" i="30" s="1"/>
  <c r="BG38" i="30"/>
  <c r="BG70" i="30"/>
  <c r="BG71" i="30"/>
  <c r="AQ27" i="19"/>
  <c r="AQ28" i="19" s="1"/>
  <c r="AQ29" i="19" s="1"/>
  <c r="BG23" i="19"/>
  <c r="BG22" i="19"/>
  <c r="BH21" i="19"/>
  <c r="BG44" i="11"/>
  <c r="BJ70" i="15"/>
  <c r="BI24" i="30" s="1"/>
  <c r="BI71" i="15"/>
  <c r="BH25" i="30" s="1"/>
  <c r="BI72" i="15"/>
  <c r="BH26" i="30" s="1"/>
  <c r="BJ127" i="15"/>
  <c r="BJ153" i="15" s="1"/>
  <c r="BF13" i="27"/>
  <c r="BG11" i="27"/>
  <c r="BC67" i="11" l="1"/>
  <c r="BB89" i="30"/>
  <c r="BE83" i="30"/>
  <c r="BF79" i="11" s="1"/>
  <c r="BD67" i="11"/>
  <c r="BG72" i="30"/>
  <c r="BG73" i="30" s="1"/>
  <c r="BG75" i="30" s="1"/>
  <c r="BF74" i="30"/>
  <c r="BF76" i="30" s="1"/>
  <c r="BF82" i="30" s="1"/>
  <c r="BF34" i="30"/>
  <c r="BF79" i="30" s="1"/>
  <c r="BI27" i="30"/>
  <c r="BI68" i="30"/>
  <c r="BI69" i="30" s="1"/>
  <c r="BI51" i="30"/>
  <c r="BI54" i="30" s="1"/>
  <c r="BI57" i="30" s="1"/>
  <c r="BI62" i="30"/>
  <c r="BI63" i="30" s="1"/>
  <c r="BI64" i="30" s="1"/>
  <c r="BI50" i="30"/>
  <c r="BH28" i="30"/>
  <c r="BH31" i="30" s="1"/>
  <c r="BH38" i="30"/>
  <c r="BH70" i="30"/>
  <c r="BH71" i="30"/>
  <c r="BF40" i="30"/>
  <c r="BF46" i="30" s="1"/>
  <c r="BF80" i="30" s="1"/>
  <c r="BF44" i="30"/>
  <c r="BF43" i="30" s="1"/>
  <c r="BF86" i="30" s="1"/>
  <c r="BE79" i="11"/>
  <c r="BD87" i="30"/>
  <c r="BG37" i="30"/>
  <c r="BG41" i="30"/>
  <c r="BH49" i="30"/>
  <c r="BH53" i="30"/>
  <c r="BF45" i="11"/>
  <c r="BH29" i="30"/>
  <c r="BH32" i="30" s="1"/>
  <c r="BH39" i="30"/>
  <c r="BH42" i="30" s="1"/>
  <c r="BH45" i="30" s="1"/>
  <c r="BG74" i="30"/>
  <c r="BG76" i="30" s="1"/>
  <c r="BG82" i="30" s="1"/>
  <c r="BG33" i="30"/>
  <c r="BG34" i="30"/>
  <c r="BG79" i="30" s="1"/>
  <c r="BH66" i="30"/>
  <c r="BH65" i="30"/>
  <c r="BG56" i="30"/>
  <c r="BG55" i="30" s="1"/>
  <c r="BG52" i="30"/>
  <c r="BG58" i="30" s="1"/>
  <c r="BG81" i="30" s="1"/>
  <c r="AR27" i="19"/>
  <c r="BH23" i="19"/>
  <c r="BH22" i="19"/>
  <c r="BI21" i="19"/>
  <c r="BH44" i="11"/>
  <c r="BJ72" i="15"/>
  <c r="BI26" i="30" s="1"/>
  <c r="BJ71" i="15"/>
  <c r="BI25" i="30" s="1"/>
  <c r="BG13" i="27"/>
  <c r="BH11" i="27"/>
  <c r="BE87" i="30" l="1"/>
  <c r="BF56" i="11" s="1"/>
  <c r="BF83" i="30"/>
  <c r="BG79" i="11" s="1"/>
  <c r="BH30" i="30"/>
  <c r="BH41" i="30"/>
  <c r="BH37" i="30"/>
  <c r="BG40" i="30"/>
  <c r="BG46" i="30" s="1"/>
  <c r="BG80" i="30" s="1"/>
  <c r="BG83" i="30" s="1"/>
  <c r="BG44" i="30"/>
  <c r="BG43" i="30" s="1"/>
  <c r="BG86" i="30" s="1"/>
  <c r="BG45" i="11"/>
  <c r="BI70" i="30"/>
  <c r="BI71" i="30"/>
  <c r="BI28" i="30"/>
  <c r="BI31" i="30" s="1"/>
  <c r="BI38" i="30"/>
  <c r="BH72" i="30"/>
  <c r="BI53" i="30"/>
  <c r="BI49" i="30"/>
  <c r="BI29" i="30"/>
  <c r="BI32" i="30" s="1"/>
  <c r="BI39" i="30"/>
  <c r="BI42" i="30" s="1"/>
  <c r="BI45" i="30" s="1"/>
  <c r="BH56" i="30"/>
  <c r="BH55" i="30" s="1"/>
  <c r="BH52" i="30"/>
  <c r="BH58" i="30" s="1"/>
  <c r="BH81" i="30" s="1"/>
  <c r="BE56" i="11"/>
  <c r="BD88" i="30"/>
  <c r="BI66" i="30"/>
  <c r="BI65" i="30"/>
  <c r="BI22" i="19"/>
  <c r="BI23" i="19"/>
  <c r="AR28" i="19"/>
  <c r="AR29" i="19" s="1"/>
  <c r="BI44" i="11"/>
  <c r="BH13" i="27"/>
  <c r="BI11" i="27"/>
  <c r="BF87" i="30" l="1"/>
  <c r="BG56" i="11" s="1"/>
  <c r="BE88" i="30"/>
  <c r="BE89" i="30" s="1"/>
  <c r="BI72" i="30"/>
  <c r="BI73" i="30" s="1"/>
  <c r="BI75" i="30" s="1"/>
  <c r="BG87" i="30"/>
  <c r="BH56" i="11" s="1"/>
  <c r="BH79" i="11"/>
  <c r="AS27" i="19"/>
  <c r="AS28" i="19" s="1"/>
  <c r="AS29" i="19" s="1"/>
  <c r="BI41" i="30"/>
  <c r="BI37" i="30"/>
  <c r="BE67" i="11"/>
  <c r="BD89" i="30"/>
  <c r="BI56" i="30"/>
  <c r="BI55" i="30" s="1"/>
  <c r="BI52" i="30"/>
  <c r="BI58" i="30" s="1"/>
  <c r="BI81" i="30" s="1"/>
  <c r="BH73" i="30"/>
  <c r="BH75" i="30" s="1"/>
  <c r="BH74" i="30"/>
  <c r="BH76" i="30" s="1"/>
  <c r="BH82" i="30" s="1"/>
  <c r="BI74" i="30"/>
  <c r="BI76" i="30" s="1"/>
  <c r="BI82" i="30" s="1"/>
  <c r="BH44" i="30"/>
  <c r="BH43" i="30" s="1"/>
  <c r="BH40" i="30"/>
  <c r="BH46" i="30" s="1"/>
  <c r="BH80" i="30" s="1"/>
  <c r="BI30" i="30"/>
  <c r="BH45" i="11"/>
  <c r="BH34" i="30"/>
  <c r="BH79" i="30" s="1"/>
  <c r="BH33" i="30"/>
  <c r="BJ44" i="11"/>
  <c r="BI13" i="27"/>
  <c r="BJ11" i="27"/>
  <c r="BF88" i="30" l="1"/>
  <c r="BF89" i="30" s="1"/>
  <c r="BF67" i="11"/>
  <c r="BG88" i="30"/>
  <c r="BH67" i="11" s="1"/>
  <c r="BH86" i="30"/>
  <c r="BI45" i="11" s="1"/>
  <c r="BH83" i="30"/>
  <c r="BI79" i="11" s="1"/>
  <c r="BI34" i="30"/>
  <c r="BI79" i="30" s="1"/>
  <c r="BI33" i="30"/>
  <c r="BG67" i="11"/>
  <c r="BI44" i="30"/>
  <c r="BI43" i="30" s="1"/>
  <c r="BI40" i="30"/>
  <c r="BI46" i="30" s="1"/>
  <c r="BI80" i="30" s="1"/>
  <c r="AT27" i="19"/>
  <c r="AT28" i="19" s="1"/>
  <c r="BJ13" i="27"/>
  <c r="BK11" i="27"/>
  <c r="BI83" i="30" l="1"/>
  <c r="BI87" i="30" s="1"/>
  <c r="BJ56" i="11" s="1"/>
  <c r="BI86" i="30"/>
  <c r="BJ45" i="11" s="1"/>
  <c r="F5" i="11" s="1"/>
  <c r="M9" i="11" s="1"/>
  <c r="BH87" i="30"/>
  <c r="BI56" i="11" s="1"/>
  <c r="BG89" i="30"/>
  <c r="AT29" i="19"/>
  <c r="AU27" i="19"/>
  <c r="AU28" i="19" s="1"/>
  <c r="AU29" i="19" s="1"/>
  <c r="BK13" i="27"/>
  <c r="BL11" i="27"/>
  <c r="BL13" i="27" s="1"/>
  <c r="F16" i="11" l="1"/>
  <c r="M10" i="11" s="1"/>
  <c r="BJ79" i="11"/>
  <c r="F91" i="11" s="1"/>
  <c r="BH88" i="30"/>
  <c r="BI67" i="11" s="1"/>
  <c r="AV27" i="19"/>
  <c r="AV28" i="19" s="1"/>
  <c r="BI88" i="30"/>
  <c r="BI89" i="30" s="1"/>
  <c r="BH89" i="30" l="1"/>
  <c r="AV29" i="19"/>
  <c r="AW27" i="19"/>
  <c r="AW28" i="19" s="1"/>
  <c r="AW29" i="19" s="1"/>
  <c r="BJ67" i="11"/>
  <c r="F27" i="11" s="1"/>
  <c r="AX27" i="19" l="1"/>
  <c r="AX28" i="19" l="1"/>
  <c r="AX29" i="19" s="1"/>
  <c r="AY27" i="19" l="1"/>
  <c r="AY28" i="19" l="1"/>
  <c r="AY29" i="19" s="1"/>
  <c r="AZ27" i="19" l="1"/>
  <c r="AZ28" i="19" s="1"/>
  <c r="AZ29" i="19" s="1"/>
  <c r="BA27" i="19" l="1"/>
  <c r="BA28" i="19" l="1"/>
  <c r="BA29" i="19" s="1"/>
  <c r="BB27" i="19" l="1"/>
  <c r="BB28" i="19" s="1"/>
  <c r="BB29" i="19" s="1"/>
  <c r="BC27" i="19" l="1"/>
  <c r="BC28" i="19" l="1"/>
  <c r="BC29" i="19" s="1"/>
  <c r="BD27" i="19" l="1"/>
  <c r="BD28" i="19" l="1"/>
  <c r="BD29" i="19" s="1"/>
  <c r="BE27" i="19" l="1"/>
  <c r="BE28" i="19" l="1"/>
  <c r="BE29" i="19" s="1"/>
  <c r="BF27" i="19" l="1"/>
  <c r="BF28" i="19" s="1"/>
  <c r="BF29" i="19" s="1"/>
  <c r="BG27" i="19" l="1"/>
  <c r="BG28" i="19" s="1"/>
  <c r="BG29" i="19" s="1"/>
  <c r="BH27" i="19" l="1"/>
  <c r="BH28" i="19" l="1"/>
  <c r="BH29" i="19" s="1"/>
  <c r="BI27" i="19" l="1"/>
  <c r="BI28" i="19" s="1"/>
  <c r="BI29" i="19" s="1"/>
  <c r="D54" i="11" l="1"/>
  <c r="E54" i="11"/>
  <c r="F54" i="11"/>
  <c r="G54" i="11"/>
  <c r="H54" i="11"/>
  <c r="I54" i="11"/>
  <c r="J54" i="11"/>
  <c r="K54" i="11"/>
  <c r="L54" i="11"/>
  <c r="M54" i="11"/>
  <c r="N54" i="11"/>
  <c r="C54" i="11"/>
  <c r="M532" i="1"/>
  <c r="M487" i="1"/>
  <c r="M442" i="1"/>
  <c r="M397" i="1"/>
  <c r="M352" i="1"/>
  <c r="M307" i="1"/>
  <c r="M262" i="1"/>
  <c r="M217" i="1"/>
  <c r="M172" i="1"/>
  <c r="M127" i="1"/>
  <c r="M82" i="1"/>
  <c r="M37" i="1"/>
  <c r="A27" i="2"/>
  <c r="J10" i="2" s="1"/>
  <c r="D74" i="25" s="1"/>
  <c r="A26" i="2"/>
  <c r="I10" i="2" s="1"/>
  <c r="D71" i="25" s="1"/>
  <c r="A25" i="2"/>
  <c r="H10" i="2" s="1"/>
  <c r="D68" i="25" s="1"/>
  <c r="B14" i="2"/>
  <c r="B19" i="2" s="1"/>
  <c r="B8" i="2"/>
  <c r="F488" i="1"/>
  <c r="F443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5" i="1"/>
  <c r="F416" i="1"/>
  <c r="F417" i="1"/>
  <c r="F39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6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E370" i="1"/>
  <c r="E415" i="1" s="1"/>
  <c r="E460" i="1" s="1"/>
  <c r="E505" i="1" s="1"/>
  <c r="E550" i="1" s="1"/>
  <c r="E371" i="1"/>
  <c r="E372" i="1"/>
  <c r="B18" i="1"/>
  <c r="E6" i="25" s="1"/>
  <c r="E14" i="25" s="1"/>
  <c r="E318" i="1"/>
  <c r="E363" i="1" s="1"/>
  <c r="E408" i="1" s="1"/>
  <c r="E453" i="1" s="1"/>
  <c r="E498" i="1" s="1"/>
  <c r="E543" i="1" s="1"/>
  <c r="E319" i="1"/>
  <c r="E364" i="1" s="1"/>
  <c r="E409" i="1" s="1"/>
  <c r="E454" i="1" s="1"/>
  <c r="E499" i="1" s="1"/>
  <c r="E544" i="1" s="1"/>
  <c r="E320" i="1"/>
  <c r="E365" i="1" s="1"/>
  <c r="E321" i="1"/>
  <c r="E366" i="1" s="1"/>
  <c r="E322" i="1"/>
  <c r="E367" i="1" s="1"/>
  <c r="E323" i="1"/>
  <c r="E330" i="1" s="1"/>
  <c r="E375" i="1" s="1"/>
  <c r="E420" i="1" s="1"/>
  <c r="E465" i="1" s="1"/>
  <c r="E510" i="1" s="1"/>
  <c r="E555" i="1" s="1"/>
  <c r="E279" i="1"/>
  <c r="E324" i="1" s="1"/>
  <c r="E331" i="1" s="1"/>
  <c r="E376" i="1" s="1"/>
  <c r="E421" i="1" s="1"/>
  <c r="E466" i="1" s="1"/>
  <c r="E511" i="1" s="1"/>
  <c r="E556" i="1" s="1"/>
  <c r="E272" i="1"/>
  <c r="E317" i="1" s="1"/>
  <c r="E362" i="1" s="1"/>
  <c r="E226" i="1"/>
  <c r="E271" i="1" s="1"/>
  <c r="E316" i="1" s="1"/>
  <c r="E361" i="1" s="1"/>
  <c r="E129" i="1"/>
  <c r="E174" i="1" s="1"/>
  <c r="E219" i="1" s="1"/>
  <c r="E264" i="1" s="1"/>
  <c r="E309" i="1" s="1"/>
  <c r="E354" i="1" s="1"/>
  <c r="E399" i="1" s="1"/>
  <c r="E444" i="1" s="1"/>
  <c r="E489" i="1" s="1"/>
  <c r="E534" i="1" s="1"/>
  <c r="E130" i="1"/>
  <c r="E175" i="1" s="1"/>
  <c r="E220" i="1" s="1"/>
  <c r="E265" i="1" s="1"/>
  <c r="E310" i="1" s="1"/>
  <c r="E355" i="1" s="1"/>
  <c r="E400" i="1" s="1"/>
  <c r="E445" i="1" s="1"/>
  <c r="E490" i="1" s="1"/>
  <c r="E535" i="1" s="1"/>
  <c r="E131" i="1"/>
  <c r="E132" i="1"/>
  <c r="E177" i="1" s="1"/>
  <c r="E222" i="1" s="1"/>
  <c r="E267" i="1" s="1"/>
  <c r="E312" i="1" s="1"/>
  <c r="E357" i="1" s="1"/>
  <c r="E133" i="1"/>
  <c r="E178" i="1" s="1"/>
  <c r="E223" i="1" s="1"/>
  <c r="E268" i="1" s="1"/>
  <c r="E313" i="1" s="1"/>
  <c r="E358" i="1" s="1"/>
  <c r="E5" i="31" s="1"/>
  <c r="E134" i="1"/>
  <c r="E179" i="1" s="1"/>
  <c r="E224" i="1" s="1"/>
  <c r="E269" i="1" s="1"/>
  <c r="E314" i="1" s="1"/>
  <c r="E359" i="1" s="1"/>
  <c r="E404" i="1" s="1"/>
  <c r="E449" i="1" s="1"/>
  <c r="E494" i="1" s="1"/>
  <c r="E539" i="1" s="1"/>
  <c r="E135" i="1"/>
  <c r="E180" i="1" s="1"/>
  <c r="E225" i="1" s="1"/>
  <c r="E270" i="1" s="1"/>
  <c r="E315" i="1" s="1"/>
  <c r="E360" i="1" s="1"/>
  <c r="E405" i="1" s="1"/>
  <c r="E450" i="1" s="1"/>
  <c r="E495" i="1" s="1"/>
  <c r="E540" i="1" s="1"/>
  <c r="E128" i="1"/>
  <c r="E173" i="1" s="1"/>
  <c r="E218" i="1" s="1"/>
  <c r="E263" i="1" s="1"/>
  <c r="E308" i="1" s="1"/>
  <c r="E353" i="1" s="1"/>
  <c r="E398" i="1" s="1"/>
  <c r="E443" i="1" s="1"/>
  <c r="E488" i="1" s="1"/>
  <c r="E533" i="1" s="1"/>
  <c r="E84" i="1"/>
  <c r="E85" i="1"/>
  <c r="E86" i="1"/>
  <c r="E87" i="1"/>
  <c r="E88" i="1"/>
  <c r="E89" i="1"/>
  <c r="E90" i="1"/>
  <c r="E83" i="1"/>
  <c r="H81" i="1"/>
  <c r="H126" i="1" s="1"/>
  <c r="H171" i="1" s="1"/>
  <c r="H216" i="1" s="1"/>
  <c r="H261" i="1" s="1"/>
  <c r="H306" i="1" s="1"/>
  <c r="H351" i="1" s="1"/>
  <c r="H396" i="1" s="1"/>
  <c r="H441" i="1" s="1"/>
  <c r="H486" i="1" s="1"/>
  <c r="H531" i="1" s="1"/>
  <c r="I81" i="1"/>
  <c r="I126" i="1" s="1"/>
  <c r="I171" i="1" s="1"/>
  <c r="I216" i="1" s="1"/>
  <c r="I261" i="1" s="1"/>
  <c r="I306" i="1" s="1"/>
  <c r="I351" i="1" s="1"/>
  <c r="I396" i="1" s="1"/>
  <c r="I441" i="1" s="1"/>
  <c r="I486" i="1" s="1"/>
  <c r="I531" i="1" s="1"/>
  <c r="J81" i="1"/>
  <c r="J126" i="1" s="1"/>
  <c r="J171" i="1" s="1"/>
  <c r="J216" i="1" s="1"/>
  <c r="J261" i="1" s="1"/>
  <c r="J306" i="1" s="1"/>
  <c r="J351" i="1" s="1"/>
  <c r="J396" i="1" s="1"/>
  <c r="J441" i="1" s="1"/>
  <c r="J486" i="1" s="1"/>
  <c r="J531" i="1" s="1"/>
  <c r="G81" i="1"/>
  <c r="G126" i="1" s="1"/>
  <c r="G171" i="1" s="1"/>
  <c r="G216" i="1" s="1"/>
  <c r="G261" i="1" s="1"/>
  <c r="G306" i="1" s="1"/>
  <c r="G351" i="1" s="1"/>
  <c r="G396" i="1" s="1"/>
  <c r="G441" i="1" s="1"/>
  <c r="G486" i="1" s="1"/>
  <c r="G531" i="1" s="1"/>
  <c r="F38" i="1"/>
  <c r="G38" i="1" s="1"/>
  <c r="E12" i="29" l="1"/>
  <c r="E12" i="31"/>
  <c r="E416" i="1"/>
  <c r="E461" i="1" s="1"/>
  <c r="E506" i="1" s="1"/>
  <c r="E551" i="1" s="1"/>
  <c r="C10" i="1"/>
  <c r="E417" i="1"/>
  <c r="E462" i="1" s="1"/>
  <c r="E507" i="1" s="1"/>
  <c r="E552" i="1" s="1"/>
  <c r="E10" i="29"/>
  <c r="L10" i="29" s="1"/>
  <c r="M10" i="29" s="1"/>
  <c r="E10" i="31"/>
  <c r="E412" i="1"/>
  <c r="E457" i="1" s="1"/>
  <c r="E502" i="1" s="1"/>
  <c r="E547" i="1" s="1"/>
  <c r="E8" i="29"/>
  <c r="F8" i="29" s="1"/>
  <c r="E8" i="31"/>
  <c r="E410" i="1"/>
  <c r="E455" i="1" s="1"/>
  <c r="E500" i="1" s="1"/>
  <c r="E545" i="1" s="1"/>
  <c r="E9" i="29"/>
  <c r="L9" i="29" s="1"/>
  <c r="M9" i="29" s="1"/>
  <c r="E9" i="31"/>
  <c r="E411" i="1"/>
  <c r="E456" i="1" s="1"/>
  <c r="E501" i="1" s="1"/>
  <c r="E546" i="1" s="1"/>
  <c r="E7" i="29"/>
  <c r="F7" i="29" s="1"/>
  <c r="E7" i="31"/>
  <c r="E407" i="1"/>
  <c r="E452" i="1" s="1"/>
  <c r="E497" i="1" s="1"/>
  <c r="E542" i="1" s="1"/>
  <c r="E6" i="29"/>
  <c r="F6" i="29" s="1"/>
  <c r="E6" i="31"/>
  <c r="E406" i="1"/>
  <c r="E451" i="1" s="1"/>
  <c r="E496" i="1" s="1"/>
  <c r="E541" i="1" s="1"/>
  <c r="L5" i="31"/>
  <c r="M5" i="31" s="1"/>
  <c r="F5" i="31"/>
  <c r="E402" i="1"/>
  <c r="E447" i="1" s="1"/>
  <c r="E492" i="1" s="1"/>
  <c r="E537" i="1" s="1"/>
  <c r="E4" i="31"/>
  <c r="L61" i="11"/>
  <c r="L72" i="11" s="1"/>
  <c r="L62" i="11"/>
  <c r="L73" i="11" s="1"/>
  <c r="H61" i="11"/>
  <c r="H72" i="11" s="1"/>
  <c r="H62" i="11"/>
  <c r="H73" i="11" s="1"/>
  <c r="D61" i="11"/>
  <c r="D72" i="11" s="1"/>
  <c r="D62" i="11"/>
  <c r="D73" i="11" s="1"/>
  <c r="C62" i="11"/>
  <c r="C61" i="11"/>
  <c r="K61" i="11"/>
  <c r="K72" i="11" s="1"/>
  <c r="K62" i="11"/>
  <c r="K73" i="11" s="1"/>
  <c r="G61" i="11"/>
  <c r="G72" i="11" s="1"/>
  <c r="G62" i="11"/>
  <c r="G73" i="11" s="1"/>
  <c r="N61" i="11"/>
  <c r="N72" i="11" s="1"/>
  <c r="N62" i="11"/>
  <c r="N73" i="11" s="1"/>
  <c r="J61" i="11"/>
  <c r="J72" i="11" s="1"/>
  <c r="J62" i="11"/>
  <c r="J73" i="11" s="1"/>
  <c r="F61" i="11"/>
  <c r="F72" i="11" s="1"/>
  <c r="F62" i="11"/>
  <c r="F73" i="11" s="1"/>
  <c r="M61" i="11"/>
  <c r="M72" i="11" s="1"/>
  <c r="M62" i="11"/>
  <c r="M73" i="11" s="1"/>
  <c r="I61" i="11"/>
  <c r="I72" i="11" s="1"/>
  <c r="I62" i="11"/>
  <c r="I73" i="11" s="1"/>
  <c r="E61" i="11"/>
  <c r="E72" i="11" s="1"/>
  <c r="E62" i="11"/>
  <c r="E73" i="11" s="1"/>
  <c r="E5" i="29"/>
  <c r="F5" i="29" s="1"/>
  <c r="E403" i="1"/>
  <c r="E448" i="1" s="1"/>
  <c r="E493" i="1" s="1"/>
  <c r="E538" i="1" s="1"/>
  <c r="L12" i="29"/>
  <c r="M12" i="29" s="1"/>
  <c r="F12" i="29"/>
  <c r="F10" i="29"/>
  <c r="L8" i="29"/>
  <c r="M8" i="29" s="1"/>
  <c r="I435" i="1"/>
  <c r="I434" i="1"/>
  <c r="I480" i="1"/>
  <c r="I525" i="1"/>
  <c r="I479" i="1"/>
  <c r="I524" i="1"/>
  <c r="J434" i="1"/>
  <c r="J525" i="1"/>
  <c r="J480" i="1"/>
  <c r="J479" i="1"/>
  <c r="J524" i="1"/>
  <c r="H435" i="1"/>
  <c r="L435" i="1" s="1"/>
  <c r="N435" i="1" s="1"/>
  <c r="H479" i="1"/>
  <c r="H434" i="1"/>
  <c r="H480" i="1"/>
  <c r="H524" i="1"/>
  <c r="H525" i="1"/>
  <c r="B27" i="15"/>
  <c r="B115" i="15" s="1"/>
  <c r="B130" i="15" s="1"/>
  <c r="E4" i="16"/>
  <c r="F4" i="16" s="1"/>
  <c r="E4" i="29"/>
  <c r="L7" i="29"/>
  <c r="M7" i="29" s="1"/>
  <c r="L60" i="11"/>
  <c r="L59" i="11"/>
  <c r="H60" i="11"/>
  <c r="H59" i="11"/>
  <c r="D59" i="11"/>
  <c r="D60" i="11"/>
  <c r="C59" i="11"/>
  <c r="C60" i="11"/>
  <c r="K60" i="11"/>
  <c r="K59" i="11"/>
  <c r="G59" i="11"/>
  <c r="G60" i="11"/>
  <c r="N59" i="11"/>
  <c r="N60" i="11"/>
  <c r="J60" i="11"/>
  <c r="J59" i="11"/>
  <c r="F59" i="11"/>
  <c r="F60" i="11"/>
  <c r="M60" i="11"/>
  <c r="M59" i="11"/>
  <c r="I60" i="11"/>
  <c r="I59" i="11"/>
  <c r="E60" i="11"/>
  <c r="E59" i="11"/>
  <c r="E12" i="18"/>
  <c r="E12" i="22"/>
  <c r="E12" i="17"/>
  <c r="E12" i="16"/>
  <c r="E10" i="18"/>
  <c r="E10" i="22"/>
  <c r="E10" i="16"/>
  <c r="E10" i="17"/>
  <c r="E9" i="22"/>
  <c r="E9" i="17"/>
  <c r="E9" i="16"/>
  <c r="E9" i="18"/>
  <c r="E8" i="17"/>
  <c r="E8" i="18"/>
  <c r="E8" i="22"/>
  <c r="E8" i="16"/>
  <c r="E7" i="22"/>
  <c r="E7" i="18"/>
  <c r="E7" i="17"/>
  <c r="E7" i="16"/>
  <c r="E6" i="18"/>
  <c r="E6" i="17"/>
  <c r="E6" i="22"/>
  <c r="E6" i="16"/>
  <c r="E4" i="18"/>
  <c r="E4" i="17"/>
  <c r="E4" i="22"/>
  <c r="E5" i="22"/>
  <c r="E5" i="18"/>
  <c r="E5" i="17"/>
  <c r="E5" i="16"/>
  <c r="E122" i="1"/>
  <c r="E176" i="1"/>
  <c r="E167" i="1"/>
  <c r="G37" i="1"/>
  <c r="G82" i="1"/>
  <c r="G127" i="1"/>
  <c r="G172" i="1"/>
  <c r="G217" i="1"/>
  <c r="G262" i="1"/>
  <c r="G307" i="1"/>
  <c r="G352" i="1"/>
  <c r="G397" i="1"/>
  <c r="G442" i="1"/>
  <c r="G487" i="1"/>
  <c r="G532" i="1"/>
  <c r="N65" i="11"/>
  <c r="N77" i="11" s="1"/>
  <c r="N85" i="11" s="1"/>
  <c r="N57" i="11"/>
  <c r="N68" i="11" s="1"/>
  <c r="J65" i="11"/>
  <c r="J77" i="11" s="1"/>
  <c r="J85" i="11" s="1"/>
  <c r="J58" i="11"/>
  <c r="J57" i="11"/>
  <c r="J68" i="11" s="1"/>
  <c r="F65" i="11"/>
  <c r="F77" i="11" s="1"/>
  <c r="F85" i="11" s="1"/>
  <c r="F58" i="11"/>
  <c r="F57" i="11"/>
  <c r="F68" i="11" s="1"/>
  <c r="C65" i="11"/>
  <c r="C77" i="11" s="1"/>
  <c r="C58" i="11"/>
  <c r="C57" i="11"/>
  <c r="C68" i="11" s="1"/>
  <c r="B55" i="11"/>
  <c r="K65" i="11"/>
  <c r="K77" i="11" s="1"/>
  <c r="K85" i="11" s="1"/>
  <c r="K58" i="11"/>
  <c r="K57" i="11"/>
  <c r="K68" i="11" s="1"/>
  <c r="G65" i="11"/>
  <c r="G77" i="11" s="1"/>
  <c r="G85" i="11" s="1"/>
  <c r="G58" i="11"/>
  <c r="G57" i="11"/>
  <c r="G68" i="11" s="1"/>
  <c r="M65" i="11"/>
  <c r="M77" i="11" s="1"/>
  <c r="M85" i="11" s="1"/>
  <c r="M57" i="11"/>
  <c r="M68" i="11" s="1"/>
  <c r="I65" i="11"/>
  <c r="I77" i="11" s="1"/>
  <c r="I85" i="11" s="1"/>
  <c r="I58" i="11"/>
  <c r="I57" i="11"/>
  <c r="I68" i="11" s="1"/>
  <c r="E65" i="11"/>
  <c r="E77" i="11" s="1"/>
  <c r="E85" i="11" s="1"/>
  <c r="E58" i="11"/>
  <c r="E57" i="11"/>
  <c r="E68" i="11" s="1"/>
  <c r="L65" i="11"/>
  <c r="L77" i="11" s="1"/>
  <c r="L85" i="11" s="1"/>
  <c r="L57" i="11"/>
  <c r="L68" i="11" s="1"/>
  <c r="H65" i="11"/>
  <c r="H77" i="11" s="1"/>
  <c r="H85" i="11" s="1"/>
  <c r="H57" i="11"/>
  <c r="H68" i="11" s="1"/>
  <c r="H58" i="11"/>
  <c r="D65" i="11"/>
  <c r="D77" i="11" s="1"/>
  <c r="D85" i="11" s="1"/>
  <c r="D58" i="11"/>
  <c r="D57" i="11"/>
  <c r="D68" i="11" s="1"/>
  <c r="G416" i="1"/>
  <c r="E328" i="1"/>
  <c r="E373" i="1" s="1"/>
  <c r="G415" i="1"/>
  <c r="G417" i="1"/>
  <c r="E377" i="1"/>
  <c r="E11" i="31" s="1"/>
  <c r="G408" i="1"/>
  <c r="G421" i="1"/>
  <c r="E329" i="1"/>
  <c r="E374" i="1" s="1"/>
  <c r="E419" i="1" s="1"/>
  <c r="E464" i="1" s="1"/>
  <c r="E509" i="1" s="1"/>
  <c r="E554" i="1" s="1"/>
  <c r="E368" i="1"/>
  <c r="E413" i="1" s="1"/>
  <c r="E458" i="1" s="1"/>
  <c r="E503" i="1" s="1"/>
  <c r="E548" i="1" s="1"/>
  <c r="G409" i="1"/>
  <c r="E369" i="1"/>
  <c r="E414" i="1" s="1"/>
  <c r="E459" i="1" s="1"/>
  <c r="E504" i="1" s="1"/>
  <c r="E549" i="1" s="1"/>
  <c r="G404" i="1"/>
  <c r="G400" i="1"/>
  <c r="G405" i="1"/>
  <c r="G399" i="1"/>
  <c r="F30" i="1"/>
  <c r="E30" i="1"/>
  <c r="D30" i="1"/>
  <c r="C30" i="1"/>
  <c r="M29" i="1"/>
  <c r="L29" i="1"/>
  <c r="K29" i="1"/>
  <c r="J29" i="1"/>
  <c r="I29" i="1"/>
  <c r="H29" i="1"/>
  <c r="G29" i="1"/>
  <c r="F29" i="1"/>
  <c r="E29" i="1"/>
  <c r="D29" i="1"/>
  <c r="C29" i="1"/>
  <c r="L524" i="1" l="1"/>
  <c r="G412" i="1"/>
  <c r="F9" i="29"/>
  <c r="L12" i="31"/>
  <c r="M12" i="31" s="1"/>
  <c r="F12" i="31"/>
  <c r="G411" i="1"/>
  <c r="F9" i="31"/>
  <c r="L9" i="31"/>
  <c r="M9" i="31" s="1"/>
  <c r="E418" i="1"/>
  <c r="E463" i="1" s="1"/>
  <c r="E508" i="1" s="1"/>
  <c r="E553" i="1" s="1"/>
  <c r="L11" i="31"/>
  <c r="M11" i="31" s="1"/>
  <c r="F11" i="31"/>
  <c r="L10" i="31"/>
  <c r="M10" i="31" s="1"/>
  <c r="F10" i="31"/>
  <c r="L8" i="31"/>
  <c r="M8" i="31" s="1"/>
  <c r="F8" i="31"/>
  <c r="G407" i="1"/>
  <c r="L5" i="29"/>
  <c r="M5" i="29" s="1"/>
  <c r="L7" i="31"/>
  <c r="M7" i="31" s="1"/>
  <c r="F7" i="31"/>
  <c r="L6" i="29"/>
  <c r="M6" i="29" s="1"/>
  <c r="I35" i="11"/>
  <c r="I36" i="11" s="1"/>
  <c r="B32" i="11" s="1"/>
  <c r="F6" i="31"/>
  <c r="L6" i="31"/>
  <c r="M6" i="31" s="1"/>
  <c r="F4" i="31"/>
  <c r="L4" i="31"/>
  <c r="M4" i="31" s="1"/>
  <c r="C73" i="11"/>
  <c r="B22" i="11"/>
  <c r="C84" i="11"/>
  <c r="C85" i="11"/>
  <c r="C72" i="11"/>
  <c r="F84" i="11"/>
  <c r="F80" i="11"/>
  <c r="F83" i="11"/>
  <c r="F82" i="11"/>
  <c r="F81" i="11"/>
  <c r="H80" i="11"/>
  <c r="H83" i="11"/>
  <c r="H82" i="11"/>
  <c r="H81" i="11"/>
  <c r="H84" i="11"/>
  <c r="I80" i="11"/>
  <c r="I83" i="11"/>
  <c r="I82" i="11"/>
  <c r="I81" i="11"/>
  <c r="I84" i="11"/>
  <c r="K83" i="11"/>
  <c r="K82" i="11"/>
  <c r="K81" i="11"/>
  <c r="K84" i="11"/>
  <c r="K80" i="11"/>
  <c r="C83" i="11"/>
  <c r="C81" i="11"/>
  <c r="C82" i="11"/>
  <c r="C80" i="11"/>
  <c r="N84" i="11"/>
  <c r="N80" i="11"/>
  <c r="N83" i="11"/>
  <c r="N82" i="11"/>
  <c r="N81" i="11"/>
  <c r="D80" i="11"/>
  <c r="D83" i="11"/>
  <c r="D82" i="11"/>
  <c r="D81" i="11"/>
  <c r="D84" i="11"/>
  <c r="E80" i="11"/>
  <c r="E83" i="11"/>
  <c r="E82" i="11"/>
  <c r="E81" i="11"/>
  <c r="E84" i="11"/>
  <c r="G83" i="11"/>
  <c r="G82" i="11"/>
  <c r="G81" i="11"/>
  <c r="G84" i="11"/>
  <c r="G80" i="11"/>
  <c r="L80" i="11"/>
  <c r="L83" i="11"/>
  <c r="L82" i="11"/>
  <c r="L81" i="11"/>
  <c r="L84" i="11"/>
  <c r="M80" i="11"/>
  <c r="M83" i="11"/>
  <c r="M82" i="11"/>
  <c r="M81" i="11"/>
  <c r="M84" i="11"/>
  <c r="J84" i="11"/>
  <c r="J80" i="11"/>
  <c r="J83" i="11"/>
  <c r="J82" i="11"/>
  <c r="J81" i="11"/>
  <c r="L480" i="1"/>
  <c r="E11" i="29"/>
  <c r="F11" i="29" s="1"/>
  <c r="E422" i="1"/>
  <c r="G406" i="1"/>
  <c r="I406" i="1" s="1"/>
  <c r="L11" i="29"/>
  <c r="M11" i="29" s="1"/>
  <c r="L479" i="1"/>
  <c r="L434" i="1"/>
  <c r="L525" i="1"/>
  <c r="B66" i="11"/>
  <c r="B67" i="11" s="1"/>
  <c r="B56" i="11"/>
  <c r="C71" i="11"/>
  <c r="I11" i="11"/>
  <c r="O130" i="15"/>
  <c r="P130" i="15"/>
  <c r="Q130" i="15"/>
  <c r="R130" i="15"/>
  <c r="S130" i="15"/>
  <c r="T130" i="15"/>
  <c r="U130" i="15"/>
  <c r="V130" i="15"/>
  <c r="W130" i="15"/>
  <c r="X130" i="15"/>
  <c r="Y130" i="15"/>
  <c r="Z130" i="15"/>
  <c r="AA130" i="15"/>
  <c r="AB130" i="15"/>
  <c r="AC130" i="15"/>
  <c r="AD130" i="15"/>
  <c r="AE130" i="15"/>
  <c r="AF130" i="15"/>
  <c r="AG130" i="15"/>
  <c r="AH130" i="15"/>
  <c r="AI130" i="15"/>
  <c r="AJ130" i="15"/>
  <c r="AK130" i="15"/>
  <c r="AL130" i="15"/>
  <c r="AM130" i="15"/>
  <c r="AN130" i="15"/>
  <c r="AO130" i="15"/>
  <c r="AP130" i="15"/>
  <c r="AQ130" i="15"/>
  <c r="AR130" i="15"/>
  <c r="AS130" i="15"/>
  <c r="AT130" i="15"/>
  <c r="AU130" i="15"/>
  <c r="AV130" i="15"/>
  <c r="AW130" i="15"/>
  <c r="AX130" i="15"/>
  <c r="AY130" i="15"/>
  <c r="AZ130" i="15"/>
  <c r="BA130" i="15"/>
  <c r="BB130" i="15"/>
  <c r="BC130" i="15"/>
  <c r="BD130" i="15"/>
  <c r="BE130" i="15"/>
  <c r="BF130" i="15"/>
  <c r="BG130" i="15"/>
  <c r="BH130" i="15"/>
  <c r="BI130" i="15"/>
  <c r="BJ130" i="15"/>
  <c r="L4" i="29"/>
  <c r="M4" i="29" s="1"/>
  <c r="F4" i="29"/>
  <c r="E69" i="11"/>
  <c r="H69" i="11"/>
  <c r="F69" i="11"/>
  <c r="D69" i="11"/>
  <c r="G69" i="11"/>
  <c r="J69" i="11"/>
  <c r="I69" i="11"/>
  <c r="K69" i="11"/>
  <c r="G410" i="1"/>
  <c r="K410" i="1" s="1"/>
  <c r="F12" i="22"/>
  <c r="L12" i="22"/>
  <c r="M12" i="22" s="1"/>
  <c r="L12" i="18"/>
  <c r="M12" i="18" s="1"/>
  <c r="F12" i="18"/>
  <c r="F12" i="17"/>
  <c r="L12" i="17"/>
  <c r="M12" i="17" s="1"/>
  <c r="L12" i="16"/>
  <c r="M12" i="16" s="1"/>
  <c r="F12" i="16"/>
  <c r="F8" i="17"/>
  <c r="L8" i="17"/>
  <c r="M8" i="17" s="1"/>
  <c r="L9" i="17"/>
  <c r="M9" i="17" s="1"/>
  <c r="F9" i="17"/>
  <c r="L10" i="16"/>
  <c r="M10" i="16" s="1"/>
  <c r="F10" i="16"/>
  <c r="E378" i="1"/>
  <c r="G378" i="1" s="1"/>
  <c r="E11" i="22"/>
  <c r="E11" i="17"/>
  <c r="E11" i="18"/>
  <c r="E11" i="16"/>
  <c r="L8" i="16"/>
  <c r="M8" i="16" s="1"/>
  <c r="F8" i="16"/>
  <c r="L9" i="22"/>
  <c r="M9" i="22" s="1"/>
  <c r="F9" i="22"/>
  <c r="L10" i="22"/>
  <c r="M10" i="22" s="1"/>
  <c r="F10" i="22"/>
  <c r="L8" i="22"/>
  <c r="M8" i="22" s="1"/>
  <c r="F8" i="22"/>
  <c r="L9" i="18"/>
  <c r="M9" i="18" s="1"/>
  <c r="F9" i="18"/>
  <c r="L10" i="18"/>
  <c r="M10" i="18" s="1"/>
  <c r="F10" i="18"/>
  <c r="F8" i="18"/>
  <c r="L8" i="18"/>
  <c r="M8" i="18" s="1"/>
  <c r="L9" i="16"/>
  <c r="M9" i="16" s="1"/>
  <c r="F9" i="16"/>
  <c r="L10" i="17"/>
  <c r="M10" i="17" s="1"/>
  <c r="F10" i="17"/>
  <c r="L7" i="18"/>
  <c r="M7" i="18" s="1"/>
  <c r="F7" i="18"/>
  <c r="F7" i="22"/>
  <c r="L7" i="22"/>
  <c r="M7" i="22" s="1"/>
  <c r="L7" i="17"/>
  <c r="M7" i="17" s="1"/>
  <c r="F7" i="17"/>
  <c r="L7" i="16"/>
  <c r="M7" i="16" s="1"/>
  <c r="F7" i="16"/>
  <c r="F6" i="17"/>
  <c r="L6" i="17"/>
  <c r="M6" i="17" s="1"/>
  <c r="L6" i="18"/>
  <c r="M6" i="18" s="1"/>
  <c r="F6" i="18"/>
  <c r="F6" i="22"/>
  <c r="L6" i="22"/>
  <c r="M6" i="22" s="1"/>
  <c r="G402" i="1"/>
  <c r="I402" i="1" s="1"/>
  <c r="G403" i="1"/>
  <c r="I403" i="1" s="1"/>
  <c r="L6" i="16"/>
  <c r="M6" i="16" s="1"/>
  <c r="F6" i="16"/>
  <c r="F5" i="22"/>
  <c r="L5" i="22"/>
  <c r="M5" i="22" s="1"/>
  <c r="F4" i="17"/>
  <c r="L4" i="17"/>
  <c r="M4" i="17" s="1"/>
  <c r="C8" i="1"/>
  <c r="C11" i="1"/>
  <c r="L5" i="16"/>
  <c r="M5" i="16" s="1"/>
  <c r="F5" i="16"/>
  <c r="F4" i="18"/>
  <c r="L4" i="18"/>
  <c r="M4" i="18" s="1"/>
  <c r="F5" i="18"/>
  <c r="L5" i="18"/>
  <c r="M5" i="18" s="1"/>
  <c r="L4" i="22"/>
  <c r="M4" i="22" s="1"/>
  <c r="F4" i="22"/>
  <c r="G398" i="1"/>
  <c r="F5" i="17"/>
  <c r="L5" i="17"/>
  <c r="M5" i="17" s="1"/>
  <c r="L4" i="16"/>
  <c r="M4" i="16" s="1"/>
  <c r="E221" i="1"/>
  <c r="F22" i="1" s="1"/>
  <c r="E212" i="1"/>
  <c r="C130" i="15"/>
  <c r="D130" i="15"/>
  <c r="E130" i="15"/>
  <c r="F130" i="15"/>
  <c r="G130" i="15"/>
  <c r="H130" i="15"/>
  <c r="I130" i="15"/>
  <c r="J130" i="15"/>
  <c r="K130" i="15"/>
  <c r="L130" i="15"/>
  <c r="M130" i="15"/>
  <c r="N130" i="15"/>
  <c r="C69" i="11"/>
  <c r="G413" i="1"/>
  <c r="G419" i="1"/>
  <c r="G420" i="1"/>
  <c r="G414" i="1"/>
  <c r="G488" i="1"/>
  <c r="D2" i="10"/>
  <c r="E2" i="10" s="1"/>
  <c r="F2" i="10" s="1"/>
  <c r="G2" i="10" s="1"/>
  <c r="D2" i="9"/>
  <c r="E2" i="9"/>
  <c r="F2" i="9" s="1"/>
  <c r="G2" i="9" s="1"/>
  <c r="A1" i="9" s="1"/>
  <c r="E15" i="9"/>
  <c r="F15" i="9"/>
  <c r="G15" i="9"/>
  <c r="C20" i="9"/>
  <c r="C10" i="8"/>
  <c r="C14" i="8"/>
  <c r="E14" i="8"/>
  <c r="F14" i="8"/>
  <c r="G14" i="8"/>
  <c r="H14" i="8"/>
  <c r="I14" i="8"/>
  <c r="J14" i="8"/>
  <c r="K14" i="8"/>
  <c r="L14" i="8"/>
  <c r="M14" i="8"/>
  <c r="N14" i="8"/>
  <c r="O17" i="8"/>
  <c r="C22" i="8"/>
  <c r="D2" i="7"/>
  <c r="E2" i="7" s="1"/>
  <c r="F2" i="7" s="1"/>
  <c r="G2" i="7" s="1"/>
  <c r="A1" i="7" s="1"/>
  <c r="C18" i="7"/>
  <c r="C19" i="7"/>
  <c r="D19" i="7" s="1"/>
  <c r="E19" i="7" s="1"/>
  <c r="F19" i="7" s="1"/>
  <c r="G19" i="7" s="1"/>
  <c r="C20" i="7"/>
  <c r="C29" i="7"/>
  <c r="C47" i="7"/>
  <c r="C54" i="7"/>
  <c r="C60" i="7"/>
  <c r="C61" i="7"/>
  <c r="E61" i="7"/>
  <c r="F61" i="7"/>
  <c r="G61" i="7"/>
  <c r="C35" i="6"/>
  <c r="D35" i="6"/>
  <c r="E35" i="6"/>
  <c r="F35" i="6"/>
  <c r="G35" i="6"/>
  <c r="H35" i="6"/>
  <c r="I35" i="6"/>
  <c r="J35" i="6"/>
  <c r="K35" i="6"/>
  <c r="L35" i="6"/>
  <c r="M35" i="6"/>
  <c r="N35" i="6"/>
  <c r="C36" i="6"/>
  <c r="D36" i="6"/>
  <c r="E36" i="6"/>
  <c r="F36" i="6"/>
  <c r="G36" i="6"/>
  <c r="H36" i="6"/>
  <c r="I36" i="6"/>
  <c r="J36" i="6"/>
  <c r="K36" i="6"/>
  <c r="L36" i="6"/>
  <c r="M36" i="6"/>
  <c r="N36" i="6"/>
  <c r="C37" i="6"/>
  <c r="D37" i="6"/>
  <c r="E37" i="6"/>
  <c r="F37" i="6"/>
  <c r="G37" i="6"/>
  <c r="H37" i="6"/>
  <c r="I37" i="6"/>
  <c r="J37" i="6"/>
  <c r="K37" i="6"/>
  <c r="L37" i="6"/>
  <c r="M37" i="6"/>
  <c r="N37" i="6"/>
  <c r="G38" i="6"/>
  <c r="H38" i="6"/>
  <c r="C50" i="6"/>
  <c r="D2" i="4"/>
  <c r="E2" i="4" s="1"/>
  <c r="F2" i="4" s="1"/>
  <c r="G2" i="4" s="1"/>
  <c r="A1" i="4" s="1"/>
  <c r="A1" i="3"/>
  <c r="C8" i="3"/>
  <c r="D8" i="3"/>
  <c r="E8" i="3"/>
  <c r="F8" i="3"/>
  <c r="G8" i="3"/>
  <c r="H8" i="3"/>
  <c r="I8" i="3"/>
  <c r="J8" i="3"/>
  <c r="K8" i="3"/>
  <c r="L8" i="3"/>
  <c r="M8" i="3"/>
  <c r="N8" i="3"/>
  <c r="C9" i="3"/>
  <c r="C44" i="6" s="1"/>
  <c r="D9" i="3"/>
  <c r="E9" i="3"/>
  <c r="E44" i="6" s="1"/>
  <c r="F9" i="3"/>
  <c r="G9" i="3"/>
  <c r="H9" i="3"/>
  <c r="H44" i="6" s="1"/>
  <c r="I9" i="3"/>
  <c r="J9" i="3"/>
  <c r="K9" i="3"/>
  <c r="K44" i="6" s="1"/>
  <c r="L9" i="3"/>
  <c r="L5" i="8" s="1"/>
  <c r="M9" i="3"/>
  <c r="N9" i="3"/>
  <c r="C10" i="3"/>
  <c r="D10" i="3"/>
  <c r="E10" i="3"/>
  <c r="F10" i="3"/>
  <c r="G10" i="3"/>
  <c r="H10" i="3"/>
  <c r="I10" i="3"/>
  <c r="J10" i="3"/>
  <c r="K10" i="3"/>
  <c r="L10" i="3"/>
  <c r="M10" i="3"/>
  <c r="N10" i="3"/>
  <c r="C11" i="3"/>
  <c r="D11" i="3"/>
  <c r="E11" i="3"/>
  <c r="F11" i="3"/>
  <c r="G11" i="3"/>
  <c r="H11" i="3"/>
  <c r="I11" i="3"/>
  <c r="J11" i="3"/>
  <c r="K11" i="3"/>
  <c r="L11" i="3"/>
  <c r="M11" i="3"/>
  <c r="N11" i="3"/>
  <c r="C12" i="3"/>
  <c r="D12" i="3"/>
  <c r="E12" i="3"/>
  <c r="F12" i="3"/>
  <c r="G12" i="3"/>
  <c r="H12" i="3"/>
  <c r="I12" i="3"/>
  <c r="J12" i="3"/>
  <c r="K12" i="3"/>
  <c r="L12" i="3"/>
  <c r="M12" i="3"/>
  <c r="N12" i="3"/>
  <c r="C13" i="3"/>
  <c r="D13" i="3"/>
  <c r="E13" i="3"/>
  <c r="F13" i="3"/>
  <c r="G13" i="3"/>
  <c r="H13" i="3"/>
  <c r="I13" i="3"/>
  <c r="J13" i="3"/>
  <c r="K13" i="3"/>
  <c r="L13" i="3"/>
  <c r="M13" i="3"/>
  <c r="N13" i="3"/>
  <c r="C14" i="3"/>
  <c r="D14" i="3"/>
  <c r="E14" i="3"/>
  <c r="F14" i="3"/>
  <c r="G14" i="3"/>
  <c r="H14" i="3"/>
  <c r="I14" i="3"/>
  <c r="J14" i="3"/>
  <c r="K14" i="3"/>
  <c r="L14" i="3"/>
  <c r="M14" i="3"/>
  <c r="N14" i="3"/>
  <c r="C15" i="3"/>
  <c r="D15" i="3"/>
  <c r="E15" i="3"/>
  <c r="F15" i="3"/>
  <c r="G15" i="3"/>
  <c r="H15" i="3"/>
  <c r="I15" i="3"/>
  <c r="J15" i="3"/>
  <c r="K15" i="3"/>
  <c r="L15" i="3"/>
  <c r="M15" i="3"/>
  <c r="N15" i="3"/>
  <c r="C16" i="3"/>
  <c r="D16" i="3"/>
  <c r="E16" i="3"/>
  <c r="F16" i="3"/>
  <c r="G16" i="3"/>
  <c r="H16" i="3"/>
  <c r="I16" i="3"/>
  <c r="J16" i="3"/>
  <c r="K16" i="3"/>
  <c r="L16" i="3"/>
  <c r="M16" i="3"/>
  <c r="N16" i="3"/>
  <c r="C17" i="3"/>
  <c r="D17" i="3"/>
  <c r="E17" i="3"/>
  <c r="F17" i="3"/>
  <c r="G17" i="3"/>
  <c r="H17" i="3"/>
  <c r="I17" i="3"/>
  <c r="J17" i="3"/>
  <c r="K17" i="3"/>
  <c r="L17" i="3"/>
  <c r="M17" i="3"/>
  <c r="N17" i="3"/>
  <c r="C18" i="3"/>
  <c r="D18" i="3"/>
  <c r="E18" i="3"/>
  <c r="F18" i="3"/>
  <c r="G18" i="3"/>
  <c r="H18" i="3"/>
  <c r="I18" i="3"/>
  <c r="J18" i="3"/>
  <c r="K18" i="3"/>
  <c r="L18" i="3"/>
  <c r="M18" i="3"/>
  <c r="N18" i="3"/>
  <c r="C20" i="3"/>
  <c r="D20" i="3"/>
  <c r="E20" i="3"/>
  <c r="F20" i="3"/>
  <c r="G20" i="3"/>
  <c r="H20" i="3"/>
  <c r="I20" i="3"/>
  <c r="J20" i="3"/>
  <c r="K20" i="3"/>
  <c r="L20" i="3"/>
  <c r="M20" i="3"/>
  <c r="N20" i="3"/>
  <c r="D2" i="14"/>
  <c r="C18" i="14"/>
  <c r="A1" i="13"/>
  <c r="O32" i="13"/>
  <c r="C19" i="14" s="1"/>
  <c r="O33" i="13"/>
  <c r="C20" i="14" s="1"/>
  <c r="C10" i="4" s="1"/>
  <c r="C6" i="9" s="1"/>
  <c r="O34" i="13"/>
  <c r="C21" i="14" s="1"/>
  <c r="O35" i="13"/>
  <c r="C22" i="14" s="1"/>
  <c r="O36" i="13"/>
  <c r="C23" i="14" s="1"/>
  <c r="O37" i="13"/>
  <c r="C24" i="14" s="1"/>
  <c r="O38" i="13"/>
  <c r="C25" i="14" s="1"/>
  <c r="D25" i="14" s="1"/>
  <c r="E25" i="14" s="1"/>
  <c r="E15" i="4" s="1"/>
  <c r="O39" i="13"/>
  <c r="C26" i="14" s="1"/>
  <c r="O40" i="13"/>
  <c r="C27" i="14" s="1"/>
  <c r="O41" i="13"/>
  <c r="C28" i="14" s="1"/>
  <c r="O42" i="13"/>
  <c r="C29" i="14" s="1"/>
  <c r="O43" i="13"/>
  <c r="C30" i="14" s="1"/>
  <c r="C44" i="13"/>
  <c r="E116" i="25" s="1"/>
  <c r="E118" i="25" s="1"/>
  <c r="D44" i="13"/>
  <c r="F116" i="25" s="1"/>
  <c r="F118" i="25" s="1"/>
  <c r="E44" i="13"/>
  <c r="G116" i="25" s="1"/>
  <c r="G118" i="25" s="1"/>
  <c r="F44" i="13"/>
  <c r="H116" i="25" s="1"/>
  <c r="H118" i="25" s="1"/>
  <c r="G44" i="13"/>
  <c r="I116" i="25" s="1"/>
  <c r="I118" i="25" s="1"/>
  <c r="H44" i="13"/>
  <c r="J116" i="25" s="1"/>
  <c r="J118" i="25" s="1"/>
  <c r="I44" i="13"/>
  <c r="K116" i="25" s="1"/>
  <c r="K118" i="25" s="1"/>
  <c r="J44" i="13"/>
  <c r="L116" i="25" s="1"/>
  <c r="L118" i="25" s="1"/>
  <c r="K44" i="13"/>
  <c r="M116" i="25" s="1"/>
  <c r="M118" i="25" s="1"/>
  <c r="L44" i="13"/>
  <c r="N116" i="25" s="1"/>
  <c r="N118" i="25" s="1"/>
  <c r="M44" i="13"/>
  <c r="O116" i="25" s="1"/>
  <c r="O118" i="25" s="1"/>
  <c r="N44" i="13"/>
  <c r="P116" i="25" s="1"/>
  <c r="P118" i="25" s="1"/>
  <c r="C3" i="2"/>
  <c r="D3" i="2" s="1"/>
  <c r="E3" i="2" s="1"/>
  <c r="F3" i="2" s="1"/>
  <c r="A1" i="2" s="1"/>
  <c r="J3" i="2"/>
  <c r="K3" i="2" s="1"/>
  <c r="L3" i="2" s="1"/>
  <c r="M3" i="2" s="1"/>
  <c r="C8" i="2"/>
  <c r="D8" i="2" s="1"/>
  <c r="E8" i="2" s="1"/>
  <c r="F8" i="2" s="1"/>
  <c r="C14" i="2"/>
  <c r="D14" i="2" s="1"/>
  <c r="E14" i="2" s="1"/>
  <c r="F14" i="2" s="1"/>
  <c r="B17" i="2"/>
  <c r="C17" i="2"/>
  <c r="D17" i="2"/>
  <c r="E17" i="2"/>
  <c r="F17" i="2"/>
  <c r="C19" i="2"/>
  <c r="G20" i="2"/>
  <c r="B21" i="2"/>
  <c r="G21" i="2"/>
  <c r="G22" i="2"/>
  <c r="A1" i="1"/>
  <c r="C16" i="1"/>
  <c r="F4" i="25" s="1"/>
  <c r="F12" i="25" s="1"/>
  <c r="D16" i="1"/>
  <c r="G4" i="25" s="1"/>
  <c r="G12" i="25" s="1"/>
  <c r="E16" i="1"/>
  <c r="H4" i="25" s="1"/>
  <c r="H12" i="25" s="1"/>
  <c r="F16" i="1"/>
  <c r="I4" i="25" s="1"/>
  <c r="I12" i="25" s="1"/>
  <c r="G16" i="1"/>
  <c r="J4" i="25" s="1"/>
  <c r="J12" i="25" s="1"/>
  <c r="H16" i="1"/>
  <c r="K4" i="25" s="1"/>
  <c r="K12" i="25" s="1"/>
  <c r="I16" i="1"/>
  <c r="L4" i="25" s="1"/>
  <c r="L12" i="25" s="1"/>
  <c r="J16" i="1"/>
  <c r="M4" i="25" s="1"/>
  <c r="M12" i="25" s="1"/>
  <c r="K16" i="1"/>
  <c r="N4" i="25" s="1"/>
  <c r="N12" i="25" s="1"/>
  <c r="L16" i="1"/>
  <c r="O4" i="25" s="1"/>
  <c r="O12" i="25" s="1"/>
  <c r="M16" i="1"/>
  <c r="P4" i="25" s="1"/>
  <c r="P12" i="25" s="1"/>
  <c r="B17" i="1"/>
  <c r="E5" i="25" s="1"/>
  <c r="E13" i="25" s="1"/>
  <c r="C17" i="1"/>
  <c r="F5" i="25" s="1"/>
  <c r="F13" i="25" s="1"/>
  <c r="D17" i="1"/>
  <c r="G5" i="25" s="1"/>
  <c r="G13" i="25" s="1"/>
  <c r="E17" i="1"/>
  <c r="H5" i="25" s="1"/>
  <c r="H13" i="25" s="1"/>
  <c r="F17" i="1"/>
  <c r="I5" i="25" s="1"/>
  <c r="I13" i="25" s="1"/>
  <c r="G17" i="1"/>
  <c r="J5" i="25" s="1"/>
  <c r="J13" i="25" s="1"/>
  <c r="H17" i="1"/>
  <c r="K5" i="25" s="1"/>
  <c r="K13" i="25" s="1"/>
  <c r="I17" i="1"/>
  <c r="L5" i="25" s="1"/>
  <c r="L13" i="25" s="1"/>
  <c r="J17" i="1"/>
  <c r="M5" i="25" s="1"/>
  <c r="M13" i="25" s="1"/>
  <c r="K17" i="1"/>
  <c r="N5" i="25" s="1"/>
  <c r="N13" i="25" s="1"/>
  <c r="L17" i="1"/>
  <c r="O5" i="25" s="1"/>
  <c r="O13" i="25" s="1"/>
  <c r="M17" i="1"/>
  <c r="P5" i="25" s="1"/>
  <c r="P13" i="25" s="1"/>
  <c r="C18" i="1"/>
  <c r="F6" i="25" s="1"/>
  <c r="F14" i="25" s="1"/>
  <c r="D18" i="1"/>
  <c r="G6" i="25" s="1"/>
  <c r="G14" i="25" s="1"/>
  <c r="E18" i="1"/>
  <c r="H6" i="25" s="1"/>
  <c r="H14" i="25" s="1"/>
  <c r="F18" i="1"/>
  <c r="I6" i="25" s="1"/>
  <c r="I14" i="25" s="1"/>
  <c r="G18" i="1"/>
  <c r="J6" i="25" s="1"/>
  <c r="J14" i="25" s="1"/>
  <c r="H18" i="1"/>
  <c r="K6" i="25" s="1"/>
  <c r="K14" i="25" s="1"/>
  <c r="I18" i="1"/>
  <c r="L6" i="25" s="1"/>
  <c r="L14" i="25" s="1"/>
  <c r="J18" i="1"/>
  <c r="M6" i="25" s="1"/>
  <c r="M14" i="25" s="1"/>
  <c r="K18" i="1"/>
  <c r="N6" i="25" s="1"/>
  <c r="N14" i="25" s="1"/>
  <c r="L18" i="1"/>
  <c r="O6" i="25" s="1"/>
  <c r="O14" i="25" s="1"/>
  <c r="M18" i="1"/>
  <c r="P6" i="25" s="1"/>
  <c r="P14" i="25" s="1"/>
  <c r="B21" i="1"/>
  <c r="B27" i="1" s="1"/>
  <c r="C21" i="1"/>
  <c r="C27" i="1" s="1"/>
  <c r="D21" i="1"/>
  <c r="D27" i="1" s="1"/>
  <c r="E21" i="1"/>
  <c r="E27" i="1" s="1"/>
  <c r="F21" i="1"/>
  <c r="G21" i="1"/>
  <c r="G27" i="1" s="1"/>
  <c r="H21" i="1"/>
  <c r="H27" i="1" s="1"/>
  <c r="I21" i="1"/>
  <c r="I27" i="1" s="1"/>
  <c r="J21" i="1"/>
  <c r="J27" i="1" s="1"/>
  <c r="K21" i="1"/>
  <c r="K27" i="1" s="1"/>
  <c r="L21" i="1"/>
  <c r="L27" i="1" s="1"/>
  <c r="M21" i="1"/>
  <c r="M27" i="1" s="1"/>
  <c r="B22" i="1"/>
  <c r="C22" i="1"/>
  <c r="D22" i="1"/>
  <c r="E22" i="1"/>
  <c r="B23" i="1"/>
  <c r="C23" i="1"/>
  <c r="D23" i="1"/>
  <c r="E23" i="1"/>
  <c r="F23" i="1"/>
  <c r="G23" i="1"/>
  <c r="H23" i="1"/>
  <c r="I23" i="1"/>
  <c r="J23" i="1"/>
  <c r="K23" i="1"/>
  <c r="L23" i="1"/>
  <c r="M23" i="1"/>
  <c r="B24" i="1"/>
  <c r="C24" i="1"/>
  <c r="D24" i="1"/>
  <c r="E24" i="1"/>
  <c r="F24" i="1"/>
  <c r="G24" i="1"/>
  <c r="H24" i="1"/>
  <c r="F27" i="1"/>
  <c r="G35" i="1"/>
  <c r="F39" i="1"/>
  <c r="G39" i="1" s="1"/>
  <c r="F40" i="1"/>
  <c r="G40" i="1" s="1"/>
  <c r="H40" i="1" s="1"/>
  <c r="F41" i="1"/>
  <c r="G41" i="1" s="1"/>
  <c r="F42" i="1"/>
  <c r="G42" i="1" s="1"/>
  <c r="I42" i="1" s="1"/>
  <c r="F43" i="1"/>
  <c r="G43" i="1" s="1"/>
  <c r="J43" i="1" s="1"/>
  <c r="F44" i="1"/>
  <c r="F45" i="1"/>
  <c r="G45" i="1" s="1"/>
  <c r="I45" i="1" s="1"/>
  <c r="F46" i="1"/>
  <c r="G46" i="1" s="1"/>
  <c r="I46" i="1" s="1"/>
  <c r="J46" i="1"/>
  <c r="K46" i="1"/>
  <c r="M46" i="1"/>
  <c r="F47" i="1"/>
  <c r="G47" i="1" s="1"/>
  <c r="H47" i="1" s="1"/>
  <c r="J47" i="1"/>
  <c r="K47" i="1"/>
  <c r="M47" i="1"/>
  <c r="F48" i="1"/>
  <c r="G48" i="1" s="1"/>
  <c r="H48" i="1" s="1"/>
  <c r="J48" i="1"/>
  <c r="K48" i="1"/>
  <c r="M48" i="1"/>
  <c r="G49" i="1"/>
  <c r="I49" i="1" s="1"/>
  <c r="J49" i="1"/>
  <c r="K49" i="1"/>
  <c r="M49" i="1"/>
  <c r="F50" i="1"/>
  <c r="G50" i="1" s="1"/>
  <c r="H50" i="1" s="1"/>
  <c r="J50" i="1"/>
  <c r="K50" i="1"/>
  <c r="M50" i="1"/>
  <c r="F51" i="1"/>
  <c r="G51" i="1" s="1"/>
  <c r="H51" i="1" s="1"/>
  <c r="J51" i="1"/>
  <c r="K51" i="1"/>
  <c r="M51" i="1"/>
  <c r="F52" i="1"/>
  <c r="G52" i="1" s="1"/>
  <c r="J52" i="1"/>
  <c r="K52" i="1"/>
  <c r="M52" i="1"/>
  <c r="F53" i="1"/>
  <c r="G53" i="1" s="1"/>
  <c r="I53" i="1" s="1"/>
  <c r="J53" i="1"/>
  <c r="K53" i="1"/>
  <c r="M53" i="1"/>
  <c r="F54" i="1"/>
  <c r="G54" i="1" s="1"/>
  <c r="I54" i="1" s="1"/>
  <c r="J54" i="1"/>
  <c r="K54" i="1"/>
  <c r="M54" i="1"/>
  <c r="F55" i="1"/>
  <c r="G55" i="1" s="1"/>
  <c r="I55" i="1" s="1"/>
  <c r="J55" i="1"/>
  <c r="K55" i="1"/>
  <c r="M55" i="1"/>
  <c r="F56" i="1"/>
  <c r="G56" i="1" s="1"/>
  <c r="H56" i="1" s="1"/>
  <c r="J56" i="1"/>
  <c r="K56" i="1"/>
  <c r="M56" i="1"/>
  <c r="F57" i="1"/>
  <c r="G57" i="1" s="1"/>
  <c r="J57" i="1"/>
  <c r="K57" i="1"/>
  <c r="M57" i="1"/>
  <c r="F58" i="1"/>
  <c r="G58" i="1" s="1"/>
  <c r="I58" i="1" s="1"/>
  <c r="J58" i="1"/>
  <c r="K58" i="1"/>
  <c r="M58" i="1"/>
  <c r="F59" i="1"/>
  <c r="G59" i="1" s="1"/>
  <c r="J59" i="1"/>
  <c r="K59" i="1"/>
  <c r="M59" i="1"/>
  <c r="F60" i="1"/>
  <c r="G60" i="1" s="1"/>
  <c r="J60" i="1"/>
  <c r="K60" i="1"/>
  <c r="M60" i="1"/>
  <c r="F61" i="1"/>
  <c r="G61" i="1" s="1"/>
  <c r="J61" i="1"/>
  <c r="K61" i="1"/>
  <c r="M61" i="1"/>
  <c r="F62" i="1"/>
  <c r="G62" i="1" s="1"/>
  <c r="J62" i="1"/>
  <c r="K62" i="1"/>
  <c r="M62" i="1"/>
  <c r="F63" i="1"/>
  <c r="G63" i="1" s="1"/>
  <c r="H63" i="1" s="1"/>
  <c r="J63" i="1"/>
  <c r="K63" i="1"/>
  <c r="M63" i="1"/>
  <c r="F64" i="1"/>
  <c r="G64" i="1" s="1"/>
  <c r="H64" i="1" s="1"/>
  <c r="J64" i="1"/>
  <c r="K64" i="1"/>
  <c r="M64" i="1"/>
  <c r="F65" i="1"/>
  <c r="G65" i="1" s="1"/>
  <c r="H65" i="1" s="1"/>
  <c r="J65" i="1"/>
  <c r="K65" i="1"/>
  <c r="M65" i="1"/>
  <c r="F66" i="1"/>
  <c r="G66" i="1" s="1"/>
  <c r="I66" i="1" s="1"/>
  <c r="J66" i="1"/>
  <c r="K66" i="1"/>
  <c r="M66" i="1"/>
  <c r="F67" i="1"/>
  <c r="G67" i="1" s="1"/>
  <c r="J67" i="1"/>
  <c r="K67" i="1"/>
  <c r="M67" i="1"/>
  <c r="F68" i="1"/>
  <c r="G68" i="1" s="1"/>
  <c r="J68" i="1"/>
  <c r="K68" i="1"/>
  <c r="M68" i="1"/>
  <c r="F69" i="1"/>
  <c r="G69" i="1" s="1"/>
  <c r="J69" i="1"/>
  <c r="K69" i="1"/>
  <c r="M69" i="1"/>
  <c r="F70" i="1"/>
  <c r="G70" i="1" s="1"/>
  <c r="J70" i="1"/>
  <c r="K70" i="1"/>
  <c r="M70" i="1"/>
  <c r="F71" i="1"/>
  <c r="G71" i="1" s="1"/>
  <c r="J71" i="1"/>
  <c r="K71" i="1"/>
  <c r="M71" i="1"/>
  <c r="F72" i="1"/>
  <c r="G72" i="1" s="1"/>
  <c r="J72" i="1"/>
  <c r="K72" i="1"/>
  <c r="M72" i="1"/>
  <c r="F73" i="1"/>
  <c r="G73" i="1" s="1"/>
  <c r="J73" i="1"/>
  <c r="K73" i="1"/>
  <c r="M73" i="1"/>
  <c r="F74" i="1"/>
  <c r="G74" i="1" s="1"/>
  <c r="I74" i="1" s="1"/>
  <c r="J74" i="1"/>
  <c r="K74" i="1"/>
  <c r="M74" i="1"/>
  <c r="F75" i="1"/>
  <c r="G75" i="1" s="1"/>
  <c r="J75" i="1"/>
  <c r="K75" i="1"/>
  <c r="M75" i="1"/>
  <c r="F76" i="1"/>
  <c r="G76" i="1" s="1"/>
  <c r="I76" i="1" s="1"/>
  <c r="J76" i="1"/>
  <c r="K76" i="1"/>
  <c r="M76" i="1"/>
  <c r="G80" i="1"/>
  <c r="F83" i="1"/>
  <c r="G83" i="1" s="1"/>
  <c r="F84" i="1"/>
  <c r="G84" i="1" s="1"/>
  <c r="F85" i="1"/>
  <c r="G85" i="1" s="1"/>
  <c r="I85" i="1" s="1"/>
  <c r="F86" i="1"/>
  <c r="G86" i="1" s="1"/>
  <c r="H86" i="1" s="1"/>
  <c r="F87" i="1"/>
  <c r="G87" i="1" s="1"/>
  <c r="K87" i="1" s="1"/>
  <c r="F88" i="1"/>
  <c r="G88" i="1" s="1"/>
  <c r="I88" i="1" s="1"/>
  <c r="F89" i="1"/>
  <c r="G89" i="1" s="1"/>
  <c r="H89" i="1" s="1"/>
  <c r="F90" i="1"/>
  <c r="G90" i="1" s="1"/>
  <c r="K90" i="1" s="1"/>
  <c r="F91" i="1"/>
  <c r="G91" i="1" s="1"/>
  <c r="H91" i="1" s="1"/>
  <c r="J91" i="1"/>
  <c r="K91" i="1"/>
  <c r="M91" i="1"/>
  <c r="F92" i="1"/>
  <c r="G92" i="1" s="1"/>
  <c r="H92" i="1" s="1"/>
  <c r="J92" i="1"/>
  <c r="K92" i="1"/>
  <c r="M92" i="1"/>
  <c r="F93" i="1"/>
  <c r="G93" i="1" s="1"/>
  <c r="I93" i="1" s="1"/>
  <c r="J93" i="1"/>
  <c r="K93" i="1"/>
  <c r="M93" i="1"/>
  <c r="F94" i="1"/>
  <c r="G94" i="1" s="1"/>
  <c r="J94" i="1"/>
  <c r="K94" i="1"/>
  <c r="M94" i="1"/>
  <c r="F95" i="1"/>
  <c r="G95" i="1" s="1"/>
  <c r="J95" i="1"/>
  <c r="K95" i="1"/>
  <c r="M95" i="1"/>
  <c r="F96" i="1"/>
  <c r="G96" i="1" s="1"/>
  <c r="J96" i="1"/>
  <c r="K96" i="1"/>
  <c r="M96" i="1"/>
  <c r="F97" i="1"/>
  <c r="G97" i="1" s="1"/>
  <c r="I97" i="1" s="1"/>
  <c r="J97" i="1"/>
  <c r="K97" i="1"/>
  <c r="M97" i="1"/>
  <c r="F98" i="1"/>
  <c r="G98" i="1" s="1"/>
  <c r="H98" i="1" s="1"/>
  <c r="J98" i="1"/>
  <c r="K98" i="1"/>
  <c r="M98" i="1"/>
  <c r="F99" i="1"/>
  <c r="G99" i="1" s="1"/>
  <c r="J99" i="1"/>
  <c r="K99" i="1"/>
  <c r="M99" i="1"/>
  <c r="F100" i="1"/>
  <c r="G100" i="1" s="1"/>
  <c r="J100" i="1"/>
  <c r="K100" i="1"/>
  <c r="M100" i="1"/>
  <c r="F101" i="1"/>
  <c r="G101" i="1" s="1"/>
  <c r="I101" i="1" s="1"/>
  <c r="J101" i="1"/>
  <c r="K101" i="1"/>
  <c r="M101" i="1"/>
  <c r="F102" i="1"/>
  <c r="G102" i="1" s="1"/>
  <c r="H102" i="1" s="1"/>
  <c r="J102" i="1"/>
  <c r="K102" i="1"/>
  <c r="M102" i="1"/>
  <c r="F103" i="1"/>
  <c r="G103" i="1" s="1"/>
  <c r="J103" i="1"/>
  <c r="K103" i="1"/>
  <c r="M103" i="1"/>
  <c r="F104" i="1"/>
  <c r="G104" i="1" s="1"/>
  <c r="J104" i="1"/>
  <c r="K104" i="1"/>
  <c r="M104" i="1"/>
  <c r="F105" i="1"/>
  <c r="G105" i="1" s="1"/>
  <c r="J105" i="1"/>
  <c r="K105" i="1"/>
  <c r="M105" i="1"/>
  <c r="F106" i="1"/>
  <c r="G106" i="1" s="1"/>
  <c r="J106" i="1"/>
  <c r="K106" i="1"/>
  <c r="M106" i="1"/>
  <c r="F107" i="1"/>
  <c r="G107" i="1" s="1"/>
  <c r="J107" i="1"/>
  <c r="K107" i="1"/>
  <c r="M107" i="1"/>
  <c r="F108" i="1"/>
  <c r="G108" i="1" s="1"/>
  <c r="H108" i="1" s="1"/>
  <c r="J108" i="1"/>
  <c r="K108" i="1"/>
  <c r="M108" i="1"/>
  <c r="F109" i="1"/>
  <c r="G109" i="1" s="1"/>
  <c r="J109" i="1"/>
  <c r="K109" i="1"/>
  <c r="M109" i="1"/>
  <c r="F110" i="1"/>
  <c r="G110" i="1" s="1"/>
  <c r="J110" i="1"/>
  <c r="K110" i="1"/>
  <c r="M110" i="1"/>
  <c r="F111" i="1"/>
  <c r="G111" i="1" s="1"/>
  <c r="J111" i="1"/>
  <c r="K111" i="1"/>
  <c r="M111" i="1"/>
  <c r="F112" i="1"/>
  <c r="G112" i="1" s="1"/>
  <c r="J112" i="1"/>
  <c r="K112" i="1"/>
  <c r="M112" i="1"/>
  <c r="F113" i="1"/>
  <c r="G113" i="1" s="1"/>
  <c r="H113" i="1" s="1"/>
  <c r="J113" i="1"/>
  <c r="K113" i="1"/>
  <c r="M113" i="1"/>
  <c r="F114" i="1"/>
  <c r="G114" i="1" s="1"/>
  <c r="J114" i="1"/>
  <c r="K114" i="1"/>
  <c r="M114" i="1"/>
  <c r="F115" i="1"/>
  <c r="G115" i="1" s="1"/>
  <c r="H115" i="1" s="1"/>
  <c r="J115" i="1"/>
  <c r="K115" i="1"/>
  <c r="M115" i="1"/>
  <c r="F116" i="1"/>
  <c r="G116" i="1" s="1"/>
  <c r="J116" i="1"/>
  <c r="K116" i="1"/>
  <c r="M116" i="1"/>
  <c r="F117" i="1"/>
  <c r="G117" i="1" s="1"/>
  <c r="J117" i="1"/>
  <c r="K117" i="1"/>
  <c r="M117" i="1"/>
  <c r="F118" i="1"/>
  <c r="G118" i="1" s="1"/>
  <c r="H118" i="1" s="1"/>
  <c r="J118" i="1"/>
  <c r="K118" i="1"/>
  <c r="M118" i="1"/>
  <c r="F119" i="1"/>
  <c r="G119" i="1" s="1"/>
  <c r="J119" i="1"/>
  <c r="K119" i="1"/>
  <c r="M119" i="1"/>
  <c r="F120" i="1"/>
  <c r="G120" i="1" s="1"/>
  <c r="J120" i="1"/>
  <c r="K120" i="1"/>
  <c r="M120" i="1"/>
  <c r="F121" i="1"/>
  <c r="G121" i="1" s="1"/>
  <c r="H121" i="1" s="1"/>
  <c r="J121" i="1"/>
  <c r="K121" i="1"/>
  <c r="M121" i="1"/>
  <c r="G125" i="1"/>
  <c r="F128" i="1"/>
  <c r="G128" i="1" s="1"/>
  <c r="F129" i="1"/>
  <c r="G129" i="1" s="1"/>
  <c r="K129" i="1" s="1"/>
  <c r="F130" i="1"/>
  <c r="G130" i="1" s="1"/>
  <c r="K130" i="1" s="1"/>
  <c r="F131" i="1"/>
  <c r="G131" i="1" s="1"/>
  <c r="F132" i="1"/>
  <c r="G132" i="1" s="1"/>
  <c r="J132" i="1" s="1"/>
  <c r="F133" i="1"/>
  <c r="G133" i="1" s="1"/>
  <c r="H133" i="1" s="1"/>
  <c r="F134" i="1"/>
  <c r="G134" i="1" s="1"/>
  <c r="J134" i="1" s="1"/>
  <c r="F135" i="1"/>
  <c r="F136" i="1"/>
  <c r="G136" i="1" s="1"/>
  <c r="H136" i="1" s="1"/>
  <c r="J136" i="1"/>
  <c r="K136" i="1"/>
  <c r="M136" i="1"/>
  <c r="F137" i="1"/>
  <c r="G137" i="1" s="1"/>
  <c r="J137" i="1"/>
  <c r="K137" i="1"/>
  <c r="M137" i="1"/>
  <c r="F138" i="1"/>
  <c r="G138" i="1" s="1"/>
  <c r="J138" i="1"/>
  <c r="K138" i="1"/>
  <c r="M138" i="1"/>
  <c r="F139" i="1"/>
  <c r="G139" i="1" s="1"/>
  <c r="J139" i="1"/>
  <c r="K139" i="1"/>
  <c r="M139" i="1"/>
  <c r="F140" i="1"/>
  <c r="G140" i="1" s="1"/>
  <c r="J140" i="1"/>
  <c r="K140" i="1"/>
  <c r="M140" i="1"/>
  <c r="F141" i="1"/>
  <c r="G141" i="1" s="1"/>
  <c r="I141" i="1" s="1"/>
  <c r="J141" i="1"/>
  <c r="K141" i="1"/>
  <c r="M141" i="1"/>
  <c r="F142" i="1"/>
  <c r="G142" i="1" s="1"/>
  <c r="J142" i="1"/>
  <c r="K142" i="1"/>
  <c r="M142" i="1"/>
  <c r="F143" i="1"/>
  <c r="G143" i="1" s="1"/>
  <c r="J143" i="1"/>
  <c r="K143" i="1"/>
  <c r="M143" i="1"/>
  <c r="F144" i="1"/>
  <c r="G144" i="1" s="1"/>
  <c r="J144" i="1"/>
  <c r="K144" i="1"/>
  <c r="M144" i="1"/>
  <c r="F145" i="1"/>
  <c r="G145" i="1" s="1"/>
  <c r="J145" i="1"/>
  <c r="K145" i="1"/>
  <c r="M145" i="1"/>
  <c r="F146" i="1"/>
  <c r="G146" i="1" s="1"/>
  <c r="H146" i="1" s="1"/>
  <c r="J146" i="1"/>
  <c r="K146" i="1"/>
  <c r="M146" i="1"/>
  <c r="F147" i="1"/>
  <c r="G147" i="1" s="1"/>
  <c r="H147" i="1" s="1"/>
  <c r="J147" i="1"/>
  <c r="K147" i="1"/>
  <c r="M147" i="1"/>
  <c r="F148" i="1"/>
  <c r="G148" i="1" s="1"/>
  <c r="I148" i="1" s="1"/>
  <c r="J148" i="1"/>
  <c r="K148" i="1"/>
  <c r="M148" i="1"/>
  <c r="F149" i="1"/>
  <c r="G149" i="1" s="1"/>
  <c r="H149" i="1" s="1"/>
  <c r="J149" i="1"/>
  <c r="K149" i="1"/>
  <c r="M149" i="1"/>
  <c r="F150" i="1"/>
  <c r="G150" i="1" s="1"/>
  <c r="H150" i="1" s="1"/>
  <c r="J150" i="1"/>
  <c r="K150" i="1"/>
  <c r="M150" i="1"/>
  <c r="F151" i="1"/>
  <c r="G151" i="1" s="1"/>
  <c r="J151" i="1"/>
  <c r="K151" i="1"/>
  <c r="M151" i="1"/>
  <c r="F152" i="1"/>
  <c r="G152" i="1" s="1"/>
  <c r="J152" i="1"/>
  <c r="K152" i="1"/>
  <c r="M152" i="1"/>
  <c r="F153" i="1"/>
  <c r="G153" i="1" s="1"/>
  <c r="J153" i="1"/>
  <c r="K153" i="1"/>
  <c r="M153" i="1"/>
  <c r="F154" i="1"/>
  <c r="G154" i="1" s="1"/>
  <c r="J154" i="1"/>
  <c r="K154" i="1"/>
  <c r="M154" i="1"/>
  <c r="F155" i="1"/>
  <c r="G155" i="1" s="1"/>
  <c r="J155" i="1"/>
  <c r="K155" i="1"/>
  <c r="M155" i="1"/>
  <c r="F156" i="1"/>
  <c r="G156" i="1" s="1"/>
  <c r="I156" i="1" s="1"/>
  <c r="J156" i="1"/>
  <c r="K156" i="1"/>
  <c r="M156" i="1"/>
  <c r="F157" i="1"/>
  <c r="G157" i="1" s="1"/>
  <c r="H157" i="1" s="1"/>
  <c r="J157" i="1"/>
  <c r="K157" i="1"/>
  <c r="M157" i="1"/>
  <c r="F158" i="1"/>
  <c r="G158" i="1" s="1"/>
  <c r="H158" i="1" s="1"/>
  <c r="J158" i="1"/>
  <c r="K158" i="1"/>
  <c r="M158" i="1"/>
  <c r="F159" i="1"/>
  <c r="G159" i="1" s="1"/>
  <c r="J159" i="1"/>
  <c r="K159" i="1"/>
  <c r="M159" i="1"/>
  <c r="F160" i="1"/>
  <c r="G160" i="1" s="1"/>
  <c r="J160" i="1"/>
  <c r="K160" i="1"/>
  <c r="M160" i="1"/>
  <c r="F161" i="1"/>
  <c r="G161" i="1" s="1"/>
  <c r="J161" i="1"/>
  <c r="K161" i="1"/>
  <c r="M161" i="1"/>
  <c r="F162" i="1"/>
  <c r="G162" i="1" s="1"/>
  <c r="I162" i="1" s="1"/>
  <c r="J162" i="1"/>
  <c r="K162" i="1"/>
  <c r="M162" i="1"/>
  <c r="F163" i="1"/>
  <c r="G163" i="1" s="1"/>
  <c r="H163" i="1" s="1"/>
  <c r="J163" i="1"/>
  <c r="K163" i="1"/>
  <c r="M163" i="1"/>
  <c r="F164" i="1"/>
  <c r="G164" i="1" s="1"/>
  <c r="I164" i="1" s="1"/>
  <c r="J164" i="1"/>
  <c r="K164" i="1"/>
  <c r="M164" i="1"/>
  <c r="F165" i="1"/>
  <c r="G165" i="1" s="1"/>
  <c r="H165" i="1" s="1"/>
  <c r="J165" i="1"/>
  <c r="K165" i="1"/>
  <c r="M165" i="1"/>
  <c r="F166" i="1"/>
  <c r="G166" i="1" s="1"/>
  <c r="H166" i="1" s="1"/>
  <c r="J166" i="1"/>
  <c r="K166" i="1"/>
  <c r="M166" i="1"/>
  <c r="G170" i="1"/>
  <c r="F173" i="1"/>
  <c r="G173" i="1" s="1"/>
  <c r="F174" i="1"/>
  <c r="G174" i="1" s="1"/>
  <c r="F175" i="1"/>
  <c r="G175" i="1" s="1"/>
  <c r="I175" i="1" s="1"/>
  <c r="F176" i="1"/>
  <c r="G176" i="1" s="1"/>
  <c r="I176" i="1" s="1"/>
  <c r="F177" i="1"/>
  <c r="G177" i="1" s="1"/>
  <c r="H177" i="1" s="1"/>
  <c r="F178" i="1"/>
  <c r="G178" i="1" s="1"/>
  <c r="H178" i="1" s="1"/>
  <c r="F179" i="1"/>
  <c r="G179" i="1" s="1"/>
  <c r="J179" i="1" s="1"/>
  <c r="F180" i="1"/>
  <c r="G180" i="1" s="1"/>
  <c r="J180" i="1" s="1"/>
  <c r="F181" i="1"/>
  <c r="G181" i="1" s="1"/>
  <c r="J181" i="1" s="1"/>
  <c r="F182" i="1"/>
  <c r="G182" i="1" s="1"/>
  <c r="H182" i="1" s="1"/>
  <c r="J182" i="1"/>
  <c r="K182" i="1"/>
  <c r="M182" i="1"/>
  <c r="F183" i="1"/>
  <c r="G183" i="1" s="1"/>
  <c r="J183" i="1"/>
  <c r="K183" i="1"/>
  <c r="M183" i="1"/>
  <c r="F184" i="1"/>
  <c r="G184" i="1" s="1"/>
  <c r="I184" i="1" s="1"/>
  <c r="J184" i="1"/>
  <c r="K184" i="1"/>
  <c r="M184" i="1"/>
  <c r="F185" i="1"/>
  <c r="G185" i="1" s="1"/>
  <c r="H185" i="1" s="1"/>
  <c r="J185" i="1"/>
  <c r="K185" i="1"/>
  <c r="M185" i="1"/>
  <c r="F186" i="1"/>
  <c r="G186" i="1" s="1"/>
  <c r="J186" i="1"/>
  <c r="K186" i="1"/>
  <c r="M186" i="1"/>
  <c r="F187" i="1"/>
  <c r="G187" i="1" s="1"/>
  <c r="H187" i="1" s="1"/>
  <c r="J187" i="1"/>
  <c r="K187" i="1"/>
  <c r="M187" i="1"/>
  <c r="F188" i="1"/>
  <c r="G188" i="1" s="1"/>
  <c r="J188" i="1"/>
  <c r="K188" i="1"/>
  <c r="M188" i="1"/>
  <c r="F189" i="1"/>
  <c r="G189" i="1" s="1"/>
  <c r="J189" i="1"/>
  <c r="K189" i="1"/>
  <c r="M189" i="1"/>
  <c r="F190" i="1"/>
  <c r="G190" i="1" s="1"/>
  <c r="J190" i="1"/>
  <c r="K190" i="1"/>
  <c r="M190" i="1"/>
  <c r="F191" i="1"/>
  <c r="G191" i="1" s="1"/>
  <c r="H191" i="1" s="1"/>
  <c r="J191" i="1"/>
  <c r="K191" i="1"/>
  <c r="M191" i="1"/>
  <c r="F192" i="1"/>
  <c r="G192" i="1" s="1"/>
  <c r="H192" i="1" s="1"/>
  <c r="J192" i="1"/>
  <c r="K192" i="1"/>
  <c r="M192" i="1"/>
  <c r="F193" i="1"/>
  <c r="G193" i="1" s="1"/>
  <c r="J193" i="1"/>
  <c r="K193" i="1"/>
  <c r="M193" i="1"/>
  <c r="F194" i="1"/>
  <c r="G194" i="1" s="1"/>
  <c r="J194" i="1"/>
  <c r="K194" i="1"/>
  <c r="M194" i="1"/>
  <c r="F195" i="1"/>
  <c r="G195" i="1" s="1"/>
  <c r="J195" i="1"/>
  <c r="K195" i="1"/>
  <c r="M195" i="1"/>
  <c r="F196" i="1"/>
  <c r="G196" i="1" s="1"/>
  <c r="J196" i="1"/>
  <c r="K196" i="1"/>
  <c r="M196" i="1"/>
  <c r="F197" i="1"/>
  <c r="G197" i="1" s="1"/>
  <c r="J197" i="1"/>
  <c r="K197" i="1"/>
  <c r="M197" i="1"/>
  <c r="F198" i="1"/>
  <c r="G198" i="1" s="1"/>
  <c r="H198" i="1" s="1"/>
  <c r="J198" i="1"/>
  <c r="K198" i="1"/>
  <c r="M198" i="1"/>
  <c r="F199" i="1"/>
  <c r="G199" i="1" s="1"/>
  <c r="H199" i="1" s="1"/>
  <c r="J199" i="1"/>
  <c r="K199" i="1"/>
  <c r="M199" i="1"/>
  <c r="F200" i="1"/>
  <c r="G200" i="1" s="1"/>
  <c r="J200" i="1"/>
  <c r="K200" i="1"/>
  <c r="M200" i="1"/>
  <c r="F201" i="1"/>
  <c r="G201" i="1" s="1"/>
  <c r="H201" i="1" s="1"/>
  <c r="J201" i="1"/>
  <c r="K201" i="1"/>
  <c r="M201" i="1"/>
  <c r="F202" i="1"/>
  <c r="G202" i="1" s="1"/>
  <c r="H202" i="1" s="1"/>
  <c r="J202" i="1"/>
  <c r="K202" i="1"/>
  <c r="M202" i="1"/>
  <c r="F203" i="1"/>
  <c r="G203" i="1" s="1"/>
  <c r="H203" i="1" s="1"/>
  <c r="J203" i="1"/>
  <c r="K203" i="1"/>
  <c r="M203" i="1"/>
  <c r="F204" i="1"/>
  <c r="G204" i="1" s="1"/>
  <c r="J204" i="1"/>
  <c r="K204" i="1"/>
  <c r="M204" i="1"/>
  <c r="F205" i="1"/>
  <c r="G205" i="1" s="1"/>
  <c r="J205" i="1"/>
  <c r="K205" i="1"/>
  <c r="M205" i="1"/>
  <c r="F206" i="1"/>
  <c r="G206" i="1" s="1"/>
  <c r="I206" i="1" s="1"/>
  <c r="J206" i="1"/>
  <c r="K206" i="1"/>
  <c r="M206" i="1"/>
  <c r="F207" i="1"/>
  <c r="G207" i="1" s="1"/>
  <c r="J207" i="1"/>
  <c r="K207" i="1"/>
  <c r="M207" i="1"/>
  <c r="F208" i="1"/>
  <c r="G208" i="1" s="1"/>
  <c r="J208" i="1"/>
  <c r="K208" i="1"/>
  <c r="M208" i="1"/>
  <c r="F209" i="1"/>
  <c r="G209" i="1" s="1"/>
  <c r="J209" i="1"/>
  <c r="K209" i="1"/>
  <c r="M209" i="1"/>
  <c r="F210" i="1"/>
  <c r="G210" i="1" s="1"/>
  <c r="J210" i="1"/>
  <c r="K210" i="1"/>
  <c r="M210" i="1"/>
  <c r="F211" i="1"/>
  <c r="G211" i="1" s="1"/>
  <c r="I211" i="1" s="1"/>
  <c r="J211" i="1"/>
  <c r="K211" i="1"/>
  <c r="M211" i="1"/>
  <c r="G215" i="1"/>
  <c r="F218" i="1"/>
  <c r="G218" i="1" s="1"/>
  <c r="F219" i="1"/>
  <c r="G219" i="1" s="1"/>
  <c r="H219" i="1" s="1"/>
  <c r="F220" i="1"/>
  <c r="G220" i="1" s="1"/>
  <c r="F221" i="1"/>
  <c r="F222" i="1"/>
  <c r="G222" i="1" s="1"/>
  <c r="F223" i="1"/>
  <c r="G223" i="1" s="1"/>
  <c r="H223" i="1" s="1"/>
  <c r="F224" i="1"/>
  <c r="G224" i="1" s="1"/>
  <c r="J224" i="1" s="1"/>
  <c r="F225" i="1"/>
  <c r="G225" i="1" s="1"/>
  <c r="H225" i="1" s="1"/>
  <c r="F226" i="1"/>
  <c r="G226" i="1" s="1"/>
  <c r="H226" i="1" s="1"/>
  <c r="F227" i="1"/>
  <c r="G227" i="1" s="1"/>
  <c r="F228" i="1"/>
  <c r="G228" i="1" s="1"/>
  <c r="J228" i="1"/>
  <c r="K228" i="1"/>
  <c r="M228" i="1"/>
  <c r="F229" i="1"/>
  <c r="G229" i="1" s="1"/>
  <c r="J229" i="1"/>
  <c r="K229" i="1"/>
  <c r="M229" i="1"/>
  <c r="F230" i="1"/>
  <c r="G230" i="1" s="1"/>
  <c r="J230" i="1"/>
  <c r="K230" i="1"/>
  <c r="M230" i="1"/>
  <c r="F231" i="1"/>
  <c r="G231" i="1" s="1"/>
  <c r="J231" i="1"/>
  <c r="K231" i="1"/>
  <c r="M231" i="1"/>
  <c r="F232" i="1"/>
  <c r="G232" i="1" s="1"/>
  <c r="J232" i="1"/>
  <c r="K232" i="1"/>
  <c r="M232" i="1"/>
  <c r="F233" i="1"/>
  <c r="G233" i="1" s="1"/>
  <c r="H233" i="1" s="1"/>
  <c r="J233" i="1"/>
  <c r="K233" i="1"/>
  <c r="M233" i="1"/>
  <c r="F234" i="1"/>
  <c r="G234" i="1" s="1"/>
  <c r="J234" i="1"/>
  <c r="K234" i="1"/>
  <c r="M234" i="1"/>
  <c r="F235" i="1"/>
  <c r="G235" i="1" s="1"/>
  <c r="H235" i="1" s="1"/>
  <c r="J235" i="1"/>
  <c r="K235" i="1"/>
  <c r="M235" i="1"/>
  <c r="F236" i="1"/>
  <c r="G236" i="1" s="1"/>
  <c r="H236" i="1" s="1"/>
  <c r="J236" i="1"/>
  <c r="K236" i="1"/>
  <c r="M236" i="1"/>
  <c r="F237" i="1"/>
  <c r="G237" i="1" s="1"/>
  <c r="H237" i="1" s="1"/>
  <c r="J237" i="1"/>
  <c r="K237" i="1"/>
  <c r="M237" i="1"/>
  <c r="F238" i="1"/>
  <c r="G238" i="1" s="1"/>
  <c r="H238" i="1" s="1"/>
  <c r="J238" i="1"/>
  <c r="K238" i="1"/>
  <c r="M238" i="1"/>
  <c r="F239" i="1"/>
  <c r="G239" i="1" s="1"/>
  <c r="J239" i="1"/>
  <c r="K239" i="1"/>
  <c r="M239" i="1"/>
  <c r="F240" i="1"/>
  <c r="G240" i="1" s="1"/>
  <c r="J240" i="1"/>
  <c r="K240" i="1"/>
  <c r="M240" i="1"/>
  <c r="F241" i="1"/>
  <c r="G241" i="1" s="1"/>
  <c r="H241" i="1" s="1"/>
  <c r="J241" i="1"/>
  <c r="K241" i="1"/>
  <c r="M241" i="1"/>
  <c r="F242" i="1"/>
  <c r="G242" i="1" s="1"/>
  <c r="J242" i="1"/>
  <c r="K242" i="1"/>
  <c r="M242" i="1"/>
  <c r="F243" i="1"/>
  <c r="G243" i="1" s="1"/>
  <c r="J243" i="1"/>
  <c r="K243" i="1"/>
  <c r="M243" i="1"/>
  <c r="F244" i="1"/>
  <c r="J244" i="1"/>
  <c r="K244" i="1"/>
  <c r="M244" i="1"/>
  <c r="F245" i="1"/>
  <c r="G245" i="1" s="1"/>
  <c r="J245" i="1"/>
  <c r="K245" i="1"/>
  <c r="M245" i="1"/>
  <c r="F246" i="1"/>
  <c r="G246" i="1" s="1"/>
  <c r="J246" i="1"/>
  <c r="K246" i="1"/>
  <c r="M246" i="1"/>
  <c r="F247" i="1"/>
  <c r="G247" i="1" s="1"/>
  <c r="I247" i="1" s="1"/>
  <c r="J247" i="1"/>
  <c r="K247" i="1"/>
  <c r="M247" i="1"/>
  <c r="F248" i="1"/>
  <c r="G248" i="1" s="1"/>
  <c r="J248" i="1"/>
  <c r="K248" i="1"/>
  <c r="M248" i="1"/>
  <c r="F249" i="1"/>
  <c r="G249" i="1" s="1"/>
  <c r="J249" i="1"/>
  <c r="K249" i="1"/>
  <c r="M249" i="1"/>
  <c r="F250" i="1"/>
  <c r="G250" i="1" s="1"/>
  <c r="J250" i="1"/>
  <c r="K250" i="1"/>
  <c r="M250" i="1"/>
  <c r="F251" i="1"/>
  <c r="G251" i="1" s="1"/>
  <c r="J251" i="1"/>
  <c r="K251" i="1"/>
  <c r="M251" i="1"/>
  <c r="F252" i="1"/>
  <c r="G252" i="1" s="1"/>
  <c r="J252" i="1"/>
  <c r="K252" i="1"/>
  <c r="M252" i="1"/>
  <c r="F253" i="1"/>
  <c r="G253" i="1" s="1"/>
  <c r="J253" i="1"/>
  <c r="K253" i="1"/>
  <c r="M253" i="1"/>
  <c r="F254" i="1"/>
  <c r="G254" i="1" s="1"/>
  <c r="J254" i="1"/>
  <c r="K254" i="1"/>
  <c r="M254" i="1"/>
  <c r="F255" i="1"/>
  <c r="G255" i="1" s="1"/>
  <c r="J255" i="1"/>
  <c r="K255" i="1"/>
  <c r="M255" i="1"/>
  <c r="F256" i="1"/>
  <c r="G256" i="1" s="1"/>
  <c r="J256" i="1"/>
  <c r="K256" i="1"/>
  <c r="M256" i="1"/>
  <c r="G260" i="1"/>
  <c r="F263" i="1"/>
  <c r="G263" i="1" s="1"/>
  <c r="F264" i="1"/>
  <c r="G264" i="1" s="1"/>
  <c r="F265" i="1"/>
  <c r="G265" i="1" s="1"/>
  <c r="F266" i="1"/>
  <c r="F267" i="1"/>
  <c r="G267" i="1" s="1"/>
  <c r="J267" i="1" s="1"/>
  <c r="F268" i="1"/>
  <c r="G268" i="1" s="1"/>
  <c r="J268" i="1" s="1"/>
  <c r="F269" i="1"/>
  <c r="G269" i="1" s="1"/>
  <c r="J269" i="1" s="1"/>
  <c r="F270" i="1"/>
  <c r="G270" i="1" s="1"/>
  <c r="F271" i="1"/>
  <c r="G271" i="1" s="1"/>
  <c r="K271" i="1" s="1"/>
  <c r="F272" i="1"/>
  <c r="G272" i="1" s="1"/>
  <c r="F273" i="1"/>
  <c r="G273" i="1" s="1"/>
  <c r="H273" i="1" s="1"/>
  <c r="F274" i="1"/>
  <c r="G274" i="1" s="1"/>
  <c r="J274" i="1" s="1"/>
  <c r="F275" i="1"/>
  <c r="M276" i="1"/>
  <c r="M277" i="1"/>
  <c r="M278" i="1"/>
  <c r="M279" i="1"/>
  <c r="F280" i="1"/>
  <c r="G280" i="1" s="1"/>
  <c r="H280" i="1" s="1"/>
  <c r="J280" i="1"/>
  <c r="K280" i="1"/>
  <c r="M280" i="1"/>
  <c r="F281" i="1"/>
  <c r="G281" i="1" s="1"/>
  <c r="H281" i="1" s="1"/>
  <c r="J281" i="1"/>
  <c r="K281" i="1"/>
  <c r="M281" i="1"/>
  <c r="F282" i="1"/>
  <c r="G282" i="1" s="1"/>
  <c r="J282" i="1"/>
  <c r="K282" i="1"/>
  <c r="M282" i="1"/>
  <c r="F283" i="1"/>
  <c r="G283" i="1" s="1"/>
  <c r="J283" i="1"/>
  <c r="K283" i="1"/>
  <c r="M283" i="1"/>
  <c r="F284" i="1"/>
  <c r="G284" i="1" s="1"/>
  <c r="I284" i="1" s="1"/>
  <c r="J284" i="1"/>
  <c r="K284" i="1"/>
  <c r="M284" i="1"/>
  <c r="F285" i="1"/>
  <c r="G285" i="1" s="1"/>
  <c r="I285" i="1" s="1"/>
  <c r="J285" i="1"/>
  <c r="K285" i="1"/>
  <c r="M285" i="1"/>
  <c r="F286" i="1"/>
  <c r="G286" i="1" s="1"/>
  <c r="H286" i="1" s="1"/>
  <c r="J286" i="1"/>
  <c r="K286" i="1"/>
  <c r="M286" i="1"/>
  <c r="F287" i="1"/>
  <c r="G287" i="1" s="1"/>
  <c r="J287" i="1"/>
  <c r="K287" i="1"/>
  <c r="M287" i="1"/>
  <c r="F288" i="1"/>
  <c r="G288" i="1" s="1"/>
  <c r="J288" i="1"/>
  <c r="K288" i="1"/>
  <c r="M288" i="1"/>
  <c r="F289" i="1"/>
  <c r="G289" i="1" s="1"/>
  <c r="J289" i="1" s="1"/>
  <c r="F290" i="1"/>
  <c r="G290" i="1" s="1"/>
  <c r="J290" i="1"/>
  <c r="K290" i="1"/>
  <c r="M290" i="1"/>
  <c r="F291" i="1"/>
  <c r="G291" i="1" s="1"/>
  <c r="I291" i="1" s="1"/>
  <c r="J291" i="1"/>
  <c r="K291" i="1"/>
  <c r="M291" i="1"/>
  <c r="F292" i="1"/>
  <c r="G292" i="1" s="1"/>
  <c r="H292" i="1" s="1"/>
  <c r="J292" i="1"/>
  <c r="K292" i="1"/>
  <c r="M292" i="1"/>
  <c r="F293" i="1"/>
  <c r="G293" i="1" s="1"/>
  <c r="I293" i="1" s="1"/>
  <c r="J293" i="1"/>
  <c r="K293" i="1"/>
  <c r="M293" i="1"/>
  <c r="F294" i="1"/>
  <c r="G294" i="1" s="1"/>
  <c r="H294" i="1" s="1"/>
  <c r="J294" i="1"/>
  <c r="K294" i="1"/>
  <c r="M294" i="1"/>
  <c r="F295" i="1"/>
  <c r="G295" i="1" s="1"/>
  <c r="H295" i="1" s="1"/>
  <c r="J295" i="1"/>
  <c r="K295" i="1"/>
  <c r="M295" i="1"/>
  <c r="F296" i="1"/>
  <c r="G296" i="1" s="1"/>
  <c r="J296" i="1"/>
  <c r="K296" i="1"/>
  <c r="M296" i="1"/>
  <c r="F297" i="1"/>
  <c r="G297" i="1" s="1"/>
  <c r="J297" i="1"/>
  <c r="K297" i="1"/>
  <c r="M297" i="1"/>
  <c r="F298" i="1"/>
  <c r="G298" i="1" s="1"/>
  <c r="I298" i="1" s="1"/>
  <c r="J298" i="1"/>
  <c r="K298" i="1"/>
  <c r="M298" i="1"/>
  <c r="F299" i="1"/>
  <c r="G299" i="1" s="1"/>
  <c r="J299" i="1"/>
  <c r="K299" i="1"/>
  <c r="M299" i="1"/>
  <c r="F300" i="1"/>
  <c r="G300" i="1" s="1"/>
  <c r="I300" i="1" s="1"/>
  <c r="J300" i="1"/>
  <c r="K300" i="1"/>
  <c r="M300" i="1"/>
  <c r="F301" i="1"/>
  <c r="G301" i="1" s="1"/>
  <c r="I301" i="1" s="1"/>
  <c r="J301" i="1"/>
  <c r="K301" i="1"/>
  <c r="M301" i="1"/>
  <c r="G305" i="1"/>
  <c r="F308" i="1"/>
  <c r="G308" i="1" s="1"/>
  <c r="F309" i="1"/>
  <c r="G309" i="1" s="1"/>
  <c r="J309" i="1" s="1"/>
  <c r="F310" i="1"/>
  <c r="G310" i="1" s="1"/>
  <c r="I310" i="1" s="1"/>
  <c r="F311" i="1"/>
  <c r="F312" i="1"/>
  <c r="G312" i="1" s="1"/>
  <c r="J312" i="1" s="1"/>
  <c r="F313" i="1"/>
  <c r="G313" i="1" s="1"/>
  <c r="K313" i="1" s="1"/>
  <c r="F314" i="1"/>
  <c r="G314" i="1" s="1"/>
  <c r="K314" i="1" s="1"/>
  <c r="F315" i="1"/>
  <c r="G315" i="1" s="1"/>
  <c r="J315" i="1" s="1"/>
  <c r="F316" i="1"/>
  <c r="G316" i="1" s="1"/>
  <c r="F317" i="1"/>
  <c r="G317" i="1" s="1"/>
  <c r="H317" i="1" s="1"/>
  <c r="F318" i="1"/>
  <c r="G318" i="1" s="1"/>
  <c r="F319" i="1"/>
  <c r="G319" i="1" s="1"/>
  <c r="I319" i="1" s="1"/>
  <c r="F320" i="1"/>
  <c r="G320" i="1" s="1"/>
  <c r="G321" i="1"/>
  <c r="M321" i="1"/>
  <c r="G322" i="1"/>
  <c r="M322" i="1"/>
  <c r="G323" i="1"/>
  <c r="M323" i="1"/>
  <c r="G324" i="1"/>
  <c r="M324" i="1"/>
  <c r="F325" i="1"/>
  <c r="G325" i="1" s="1"/>
  <c r="J325" i="1" s="1"/>
  <c r="F326" i="1"/>
  <c r="G326" i="1" s="1"/>
  <c r="F327" i="1"/>
  <c r="G327" i="1" s="1"/>
  <c r="K327" i="1" s="1"/>
  <c r="G328" i="1"/>
  <c r="M328" i="1"/>
  <c r="G329" i="1"/>
  <c r="M329" i="1"/>
  <c r="G330" i="1"/>
  <c r="M330" i="1"/>
  <c r="G331" i="1"/>
  <c r="M331" i="1"/>
  <c r="F332" i="1"/>
  <c r="G332" i="1" s="1"/>
  <c r="J332" i="1"/>
  <c r="K332" i="1"/>
  <c r="M332" i="1"/>
  <c r="F333" i="1"/>
  <c r="G333" i="1" s="1"/>
  <c r="H333" i="1" s="1"/>
  <c r="J333" i="1"/>
  <c r="K333" i="1"/>
  <c r="M333" i="1"/>
  <c r="F334" i="1"/>
  <c r="G334" i="1" s="1"/>
  <c r="I334" i="1" s="1"/>
  <c r="F335" i="1"/>
  <c r="G335" i="1" s="1"/>
  <c r="I335" i="1" s="1"/>
  <c r="F336" i="1"/>
  <c r="G336" i="1" s="1"/>
  <c r="I336" i="1" s="1"/>
  <c r="F337" i="1"/>
  <c r="G337" i="1" s="1"/>
  <c r="J337" i="1"/>
  <c r="K337" i="1"/>
  <c r="M337" i="1"/>
  <c r="F338" i="1"/>
  <c r="G338" i="1" s="1"/>
  <c r="I338" i="1" s="1"/>
  <c r="J338" i="1"/>
  <c r="K338" i="1"/>
  <c r="M338" i="1"/>
  <c r="F339" i="1"/>
  <c r="G339" i="1" s="1"/>
  <c r="J339" i="1"/>
  <c r="K339" i="1"/>
  <c r="M339" i="1"/>
  <c r="F340" i="1"/>
  <c r="G340" i="1" s="1"/>
  <c r="J340" i="1"/>
  <c r="K340" i="1"/>
  <c r="M340" i="1"/>
  <c r="F341" i="1"/>
  <c r="G341" i="1" s="1"/>
  <c r="J341" i="1"/>
  <c r="K341" i="1"/>
  <c r="M341" i="1"/>
  <c r="F342" i="1"/>
  <c r="G342" i="1" s="1"/>
  <c r="I342" i="1" s="1"/>
  <c r="J342" i="1"/>
  <c r="K342" i="1"/>
  <c r="M342" i="1"/>
  <c r="F343" i="1"/>
  <c r="G343" i="1" s="1"/>
  <c r="H343" i="1" s="1"/>
  <c r="J343" i="1"/>
  <c r="K343" i="1"/>
  <c r="M343" i="1"/>
  <c r="F344" i="1"/>
  <c r="G344" i="1" s="1"/>
  <c r="I344" i="1" s="1"/>
  <c r="J344" i="1"/>
  <c r="K344" i="1"/>
  <c r="M344" i="1"/>
  <c r="F345" i="1"/>
  <c r="G345" i="1" s="1"/>
  <c r="J345" i="1"/>
  <c r="K345" i="1"/>
  <c r="M345" i="1"/>
  <c r="F346" i="1"/>
  <c r="G346" i="1" s="1"/>
  <c r="I346" i="1" s="1"/>
  <c r="J346" i="1"/>
  <c r="K346" i="1"/>
  <c r="M346" i="1"/>
  <c r="G350" i="1"/>
  <c r="F353" i="1"/>
  <c r="G353" i="1" s="1"/>
  <c r="F354" i="1"/>
  <c r="G354" i="1" s="1"/>
  <c r="J354" i="1" s="1"/>
  <c r="F355" i="1"/>
  <c r="G355" i="1" s="1"/>
  <c r="H355" i="1" s="1"/>
  <c r="F356" i="1"/>
  <c r="F357" i="1"/>
  <c r="G357" i="1" s="1"/>
  <c r="K357" i="1" s="1"/>
  <c r="F358" i="1"/>
  <c r="G358" i="1" s="1"/>
  <c r="F359" i="1"/>
  <c r="G359" i="1" s="1"/>
  <c r="I359" i="1" s="1"/>
  <c r="F360" i="1"/>
  <c r="G360" i="1" s="1"/>
  <c r="J360" i="1" s="1"/>
  <c r="F361" i="1"/>
  <c r="G361" i="1" s="1"/>
  <c r="F362" i="1"/>
  <c r="G362" i="1" s="1"/>
  <c r="J362" i="1" s="1"/>
  <c r="F363" i="1"/>
  <c r="G363" i="1" s="1"/>
  <c r="H363" i="1" s="1"/>
  <c r="F364" i="1"/>
  <c r="G364" i="1" s="1"/>
  <c r="K364" i="1" s="1"/>
  <c r="F365" i="1"/>
  <c r="G365" i="1" s="1"/>
  <c r="K365" i="1" s="1"/>
  <c r="G366" i="1"/>
  <c r="M366" i="1"/>
  <c r="G367" i="1"/>
  <c r="M367" i="1"/>
  <c r="G368" i="1"/>
  <c r="M368" i="1"/>
  <c r="G369" i="1"/>
  <c r="M369" i="1"/>
  <c r="F370" i="1"/>
  <c r="G370" i="1" s="1"/>
  <c r="J370" i="1" s="1"/>
  <c r="F371" i="1"/>
  <c r="G371" i="1" s="1"/>
  <c r="H371" i="1" s="1"/>
  <c r="F372" i="1"/>
  <c r="G372" i="1" s="1"/>
  <c r="I372" i="1" s="1"/>
  <c r="G373" i="1"/>
  <c r="M373" i="1"/>
  <c r="G374" i="1"/>
  <c r="M374" i="1"/>
  <c r="G375" i="1"/>
  <c r="M375" i="1"/>
  <c r="G376" i="1"/>
  <c r="M376" i="1"/>
  <c r="G377" i="1"/>
  <c r="M377" i="1"/>
  <c r="M378" i="1"/>
  <c r="F379" i="1"/>
  <c r="G379" i="1" s="1"/>
  <c r="H379" i="1" s="1"/>
  <c r="F380" i="1"/>
  <c r="G380" i="1" s="1"/>
  <c r="J380" i="1" s="1"/>
  <c r="F381" i="1"/>
  <c r="G381" i="1" s="1"/>
  <c r="K381" i="1" s="1"/>
  <c r="F382" i="1"/>
  <c r="G382" i="1" s="1"/>
  <c r="H382" i="1" s="1"/>
  <c r="F383" i="1"/>
  <c r="G383" i="1" s="1"/>
  <c r="H383" i="1" s="1"/>
  <c r="J383" i="1"/>
  <c r="K383" i="1"/>
  <c r="M383" i="1"/>
  <c r="F384" i="1"/>
  <c r="G384" i="1" s="1"/>
  <c r="J384" i="1"/>
  <c r="K384" i="1"/>
  <c r="M384" i="1"/>
  <c r="F385" i="1"/>
  <c r="G385" i="1" s="1"/>
  <c r="J385" i="1"/>
  <c r="K385" i="1"/>
  <c r="M385" i="1"/>
  <c r="F386" i="1"/>
  <c r="G386" i="1" s="1"/>
  <c r="J386" i="1"/>
  <c r="K386" i="1"/>
  <c r="M386" i="1"/>
  <c r="F387" i="1"/>
  <c r="G387" i="1" s="1"/>
  <c r="J387" i="1"/>
  <c r="K387" i="1"/>
  <c r="M387" i="1"/>
  <c r="F388" i="1"/>
  <c r="G388" i="1" s="1"/>
  <c r="J388" i="1"/>
  <c r="K388" i="1"/>
  <c r="M388" i="1"/>
  <c r="F389" i="1"/>
  <c r="G389" i="1" s="1"/>
  <c r="J389" i="1"/>
  <c r="K389" i="1"/>
  <c r="M389" i="1"/>
  <c r="F390" i="1"/>
  <c r="G390" i="1" s="1"/>
  <c r="H390" i="1" s="1"/>
  <c r="J390" i="1"/>
  <c r="K390" i="1"/>
  <c r="M390" i="1"/>
  <c r="F391" i="1"/>
  <c r="G391" i="1" s="1"/>
  <c r="H391" i="1" s="1"/>
  <c r="J391" i="1"/>
  <c r="K391" i="1"/>
  <c r="M391" i="1"/>
  <c r="G395" i="1"/>
  <c r="I399" i="1"/>
  <c r="K404" i="1"/>
  <c r="J404" i="1"/>
  <c r="K405" i="1"/>
  <c r="J405" i="1"/>
  <c r="I407" i="1"/>
  <c r="H408" i="1"/>
  <c r="K409" i="1"/>
  <c r="J409" i="1"/>
  <c r="M411" i="1"/>
  <c r="M412" i="1"/>
  <c r="M413" i="1"/>
  <c r="M414" i="1"/>
  <c r="J415" i="1"/>
  <c r="H416" i="1"/>
  <c r="J417" i="1"/>
  <c r="M418" i="1"/>
  <c r="M419" i="1"/>
  <c r="M420" i="1"/>
  <c r="M421" i="1"/>
  <c r="M422" i="1"/>
  <c r="M423" i="1"/>
  <c r="F424" i="1"/>
  <c r="G424" i="1" s="1"/>
  <c r="H424" i="1" s="1"/>
  <c r="F425" i="1"/>
  <c r="G425" i="1" s="1"/>
  <c r="J425" i="1" s="1"/>
  <c r="F426" i="1"/>
  <c r="G426" i="1" s="1"/>
  <c r="I426" i="1" s="1"/>
  <c r="F427" i="1"/>
  <c r="G427" i="1" s="1"/>
  <c r="I427" i="1" s="1"/>
  <c r="F428" i="1"/>
  <c r="G428" i="1" s="1"/>
  <c r="J428" i="1" s="1"/>
  <c r="F429" i="1"/>
  <c r="G429" i="1" s="1"/>
  <c r="H429" i="1" s="1"/>
  <c r="F430" i="1"/>
  <c r="G430" i="1" s="1"/>
  <c r="J430" i="1" s="1"/>
  <c r="F431" i="1"/>
  <c r="G431" i="1" s="1"/>
  <c r="J431" i="1"/>
  <c r="K431" i="1"/>
  <c r="M431" i="1"/>
  <c r="F432" i="1"/>
  <c r="G432" i="1" s="1"/>
  <c r="H432" i="1" s="1"/>
  <c r="J432" i="1"/>
  <c r="K432" i="1"/>
  <c r="M432" i="1"/>
  <c r="F433" i="1"/>
  <c r="G433" i="1" s="1"/>
  <c r="J433" i="1"/>
  <c r="K433" i="1"/>
  <c r="M433" i="1"/>
  <c r="F436" i="1"/>
  <c r="G436" i="1" s="1"/>
  <c r="J436" i="1"/>
  <c r="K436" i="1"/>
  <c r="M436" i="1"/>
  <c r="G440" i="1"/>
  <c r="G443" i="1"/>
  <c r="G444" i="1"/>
  <c r="G445" i="1"/>
  <c r="J445" i="1" s="1"/>
  <c r="G447" i="1"/>
  <c r="I447" i="1" s="1"/>
  <c r="G448" i="1"/>
  <c r="H448" i="1" s="1"/>
  <c r="G449" i="1"/>
  <c r="G450" i="1"/>
  <c r="K450" i="1" s="1"/>
  <c r="G451" i="1"/>
  <c r="K451" i="1" s="1"/>
  <c r="G452" i="1"/>
  <c r="H452" i="1" s="1"/>
  <c r="G453" i="1"/>
  <c r="K453" i="1" s="1"/>
  <c r="G454" i="1"/>
  <c r="I454" i="1" s="1"/>
  <c r="G455" i="1"/>
  <c r="J455" i="1" s="1"/>
  <c r="G456" i="1"/>
  <c r="M456" i="1"/>
  <c r="M457" i="1"/>
  <c r="G458" i="1"/>
  <c r="M458" i="1"/>
  <c r="M459" i="1"/>
  <c r="G460" i="1"/>
  <c r="H460" i="1" s="1"/>
  <c r="G461" i="1"/>
  <c r="K461" i="1" s="1"/>
  <c r="G462" i="1"/>
  <c r="K462" i="1" s="1"/>
  <c r="M463" i="1"/>
  <c r="M464" i="1"/>
  <c r="M465" i="1"/>
  <c r="G466" i="1"/>
  <c r="M466" i="1"/>
  <c r="M467" i="1"/>
  <c r="M468" i="1"/>
  <c r="F469" i="1"/>
  <c r="G469" i="1" s="1"/>
  <c r="J469" i="1" s="1"/>
  <c r="F470" i="1"/>
  <c r="G470" i="1" s="1"/>
  <c r="I470" i="1" s="1"/>
  <c r="F471" i="1"/>
  <c r="G471" i="1" s="1"/>
  <c r="H471" i="1" s="1"/>
  <c r="F472" i="1"/>
  <c r="G472" i="1" s="1"/>
  <c r="H472" i="1" s="1"/>
  <c r="F473" i="1"/>
  <c r="G473" i="1" s="1"/>
  <c r="H473" i="1" s="1"/>
  <c r="F474" i="1"/>
  <c r="G474" i="1" s="1"/>
  <c r="K474" i="1" s="1"/>
  <c r="F475" i="1"/>
  <c r="G475" i="1" s="1"/>
  <c r="K475" i="1" s="1"/>
  <c r="F476" i="1"/>
  <c r="G476" i="1" s="1"/>
  <c r="H476" i="1" s="1"/>
  <c r="F477" i="1"/>
  <c r="G477" i="1" s="1"/>
  <c r="J477" i="1"/>
  <c r="K477" i="1"/>
  <c r="M477" i="1"/>
  <c r="F478" i="1"/>
  <c r="G478" i="1" s="1"/>
  <c r="I478" i="1" s="1"/>
  <c r="J478" i="1"/>
  <c r="K478" i="1"/>
  <c r="M478" i="1"/>
  <c r="F481" i="1"/>
  <c r="G481" i="1" s="1"/>
  <c r="H481" i="1" s="1"/>
  <c r="J481" i="1"/>
  <c r="K481" i="1"/>
  <c r="M481" i="1"/>
  <c r="G485" i="1"/>
  <c r="G489" i="1"/>
  <c r="K489" i="1" s="1"/>
  <c r="G490" i="1"/>
  <c r="I490" i="1" s="1"/>
  <c r="G492" i="1"/>
  <c r="I492" i="1" s="1"/>
  <c r="G493" i="1"/>
  <c r="J493" i="1" s="1"/>
  <c r="G494" i="1"/>
  <c r="J494" i="1" s="1"/>
  <c r="G495" i="1"/>
  <c r="J495" i="1" s="1"/>
  <c r="G496" i="1"/>
  <c r="H496" i="1" s="1"/>
  <c r="G497" i="1"/>
  <c r="J497" i="1" s="1"/>
  <c r="G498" i="1"/>
  <c r="I498" i="1" s="1"/>
  <c r="G499" i="1"/>
  <c r="H499" i="1" s="1"/>
  <c r="G500" i="1"/>
  <c r="I500" i="1" s="1"/>
  <c r="G501" i="1"/>
  <c r="M501" i="1"/>
  <c r="G502" i="1"/>
  <c r="M502" i="1"/>
  <c r="M503" i="1"/>
  <c r="M504" i="1"/>
  <c r="G505" i="1"/>
  <c r="K505" i="1" s="1"/>
  <c r="G506" i="1"/>
  <c r="I506" i="1" s="1"/>
  <c r="G507" i="1"/>
  <c r="H507" i="1" s="1"/>
  <c r="M508" i="1"/>
  <c r="M509" i="1"/>
  <c r="M510" i="1"/>
  <c r="G511" i="1"/>
  <c r="M511" i="1"/>
  <c r="M512" i="1"/>
  <c r="M513" i="1"/>
  <c r="G514" i="1"/>
  <c r="I514" i="1" s="1"/>
  <c r="G515" i="1"/>
  <c r="H515" i="1" s="1"/>
  <c r="G516" i="1"/>
  <c r="J516" i="1" s="1"/>
  <c r="G517" i="1"/>
  <c r="H517" i="1" s="1"/>
  <c r="G518" i="1"/>
  <c r="K518" i="1" s="1"/>
  <c r="G519" i="1"/>
  <c r="K519" i="1" s="1"/>
  <c r="G520" i="1"/>
  <c r="H520" i="1" s="1"/>
  <c r="G521" i="1"/>
  <c r="J521" i="1" s="1"/>
  <c r="G522" i="1"/>
  <c r="I522" i="1" s="1"/>
  <c r="G523" i="1"/>
  <c r="H523" i="1" s="1"/>
  <c r="G526" i="1"/>
  <c r="J526" i="1"/>
  <c r="K526" i="1"/>
  <c r="M526" i="1"/>
  <c r="G530" i="1"/>
  <c r="F533" i="1"/>
  <c r="F534" i="1"/>
  <c r="G534" i="1" s="1"/>
  <c r="E20" i="25" s="1"/>
  <c r="G20" i="25" s="1"/>
  <c r="F535" i="1"/>
  <c r="G535" i="1" s="1"/>
  <c r="F536" i="1"/>
  <c r="F537" i="1"/>
  <c r="G537" i="1" s="1"/>
  <c r="E23" i="25" s="1"/>
  <c r="G23" i="25" s="1"/>
  <c r="F538" i="1"/>
  <c r="G538" i="1" s="1"/>
  <c r="F539" i="1"/>
  <c r="G539" i="1" s="1"/>
  <c r="F540" i="1"/>
  <c r="G540" i="1" s="1"/>
  <c r="F541" i="1"/>
  <c r="G541" i="1" s="1"/>
  <c r="E27" i="25" s="1"/>
  <c r="G27" i="25" s="1"/>
  <c r="F542" i="1"/>
  <c r="G542" i="1" s="1"/>
  <c r="F543" i="1"/>
  <c r="G543" i="1" s="1"/>
  <c r="F544" i="1"/>
  <c r="G544" i="1" s="1"/>
  <c r="F545" i="1"/>
  <c r="M546" i="1"/>
  <c r="M547" i="1"/>
  <c r="M548" i="1"/>
  <c r="M549" i="1"/>
  <c r="F550" i="1"/>
  <c r="G550" i="1" s="1"/>
  <c r="F551" i="1"/>
  <c r="G551" i="1" s="1"/>
  <c r="F552" i="1"/>
  <c r="M553" i="1"/>
  <c r="M554" i="1"/>
  <c r="M555" i="1"/>
  <c r="M556" i="1"/>
  <c r="M557" i="1"/>
  <c r="M558" i="1"/>
  <c r="F559" i="1"/>
  <c r="G559" i="1" s="1"/>
  <c r="K559" i="1" s="1"/>
  <c r="F560" i="1"/>
  <c r="G560" i="1" s="1"/>
  <c r="E46" i="25" s="1"/>
  <c r="G46" i="25" s="1"/>
  <c r="F561" i="1"/>
  <c r="G561" i="1" s="1"/>
  <c r="E47" i="25" s="1"/>
  <c r="G47" i="25" s="1"/>
  <c r="F562" i="1"/>
  <c r="G562" i="1" s="1"/>
  <c r="E48" i="25" s="1"/>
  <c r="G48" i="25" s="1"/>
  <c r="F563" i="1"/>
  <c r="G563" i="1" s="1"/>
  <c r="F564" i="1"/>
  <c r="G564" i="1" s="1"/>
  <c r="F565" i="1"/>
  <c r="G565" i="1" s="1"/>
  <c r="F566" i="1"/>
  <c r="G566" i="1" s="1"/>
  <c r="F567" i="1"/>
  <c r="G567" i="1" s="1"/>
  <c r="F568" i="1"/>
  <c r="G568" i="1" s="1"/>
  <c r="E54" i="25" s="1"/>
  <c r="G54" i="25" s="1"/>
  <c r="F569" i="1"/>
  <c r="G569" i="1" s="1"/>
  <c r="J569" i="1" s="1"/>
  <c r="F570" i="1"/>
  <c r="G570" i="1" s="1"/>
  <c r="J570" i="1" s="1"/>
  <c r="F571" i="1"/>
  <c r="G571" i="1" s="1"/>
  <c r="J571" i="1"/>
  <c r="K571" i="1"/>
  <c r="M571" i="1"/>
  <c r="O14" i="8" l="1"/>
  <c r="C15" i="9"/>
  <c r="B21" i="11"/>
  <c r="K517" i="1"/>
  <c r="J334" i="1"/>
  <c r="G422" i="1"/>
  <c r="E467" i="1"/>
  <c r="E512" i="1" s="1"/>
  <c r="E557" i="1" s="1"/>
  <c r="G418" i="1"/>
  <c r="G508" i="1"/>
  <c r="L508" i="1" s="1"/>
  <c r="N508" i="1" s="1"/>
  <c r="G463" i="1"/>
  <c r="L463" i="1" s="1"/>
  <c r="N463" i="1" s="1"/>
  <c r="M13" i="29"/>
  <c r="F13" i="31"/>
  <c r="B56" i="31" s="1"/>
  <c r="M13" i="31"/>
  <c r="B97" i="11"/>
  <c r="I40" i="11"/>
  <c r="I41" i="11" s="1"/>
  <c r="B33" i="11" s="1"/>
  <c r="B94" i="11"/>
  <c r="B96" i="11"/>
  <c r="B93" i="11"/>
  <c r="B92" i="11"/>
  <c r="B95" i="11"/>
  <c r="I24" i="1"/>
  <c r="E423" i="1"/>
  <c r="E468" i="1" s="1"/>
  <c r="E513" i="1" s="1"/>
  <c r="E558" i="1" s="1"/>
  <c r="G457" i="1"/>
  <c r="L457" i="1" s="1"/>
  <c r="N457" i="1" s="1"/>
  <c r="J427" i="1"/>
  <c r="K425" i="1"/>
  <c r="J410" i="1"/>
  <c r="J336" i="1"/>
  <c r="J379" i="1"/>
  <c r="K336" i="1"/>
  <c r="K334" i="1"/>
  <c r="F13" i="29"/>
  <c r="I222" i="1"/>
  <c r="H222" i="1"/>
  <c r="I83" i="1"/>
  <c r="C28" i="1"/>
  <c r="J443" i="1"/>
  <c r="J263" i="1"/>
  <c r="J173" i="1"/>
  <c r="E28" i="1"/>
  <c r="K569" i="1"/>
  <c r="J566" i="1"/>
  <c r="E52" i="25"/>
  <c r="G52" i="25" s="1"/>
  <c r="J562" i="1"/>
  <c r="J567" i="1"/>
  <c r="E53" i="25"/>
  <c r="G53" i="25" s="1"/>
  <c r="J565" i="1"/>
  <c r="E51" i="25"/>
  <c r="G51" i="25" s="1"/>
  <c r="J559" i="1"/>
  <c r="E45" i="25"/>
  <c r="G45" i="25" s="1"/>
  <c r="J563" i="1"/>
  <c r="E49" i="25"/>
  <c r="G49" i="25" s="1"/>
  <c r="J564" i="1"/>
  <c r="E50" i="25"/>
  <c r="G50" i="25" s="1"/>
  <c r="G510" i="1"/>
  <c r="I550" i="1"/>
  <c r="E36" i="25"/>
  <c r="G36" i="25" s="1"/>
  <c r="J544" i="1"/>
  <c r="E30" i="25"/>
  <c r="G30" i="25" s="1"/>
  <c r="I551" i="1"/>
  <c r="E37" i="25"/>
  <c r="G37" i="25" s="1"/>
  <c r="I543" i="1"/>
  <c r="E29" i="25"/>
  <c r="G29" i="25" s="1"/>
  <c r="K570" i="1"/>
  <c r="H569" i="1"/>
  <c r="D11" i="1"/>
  <c r="E59" i="25" s="1"/>
  <c r="G59" i="25" s="1"/>
  <c r="H540" i="1"/>
  <c r="E26" i="25"/>
  <c r="G26" i="25" s="1"/>
  <c r="K538" i="1"/>
  <c r="E24" i="25"/>
  <c r="G24" i="25" s="1"/>
  <c r="J539" i="1"/>
  <c r="E25" i="25"/>
  <c r="G25" i="25" s="1"/>
  <c r="K535" i="1"/>
  <c r="E21" i="25"/>
  <c r="G21" i="25" s="1"/>
  <c r="I542" i="1"/>
  <c r="E28" i="25"/>
  <c r="G28" i="25" s="1"/>
  <c r="C46" i="13"/>
  <c r="C18" i="6"/>
  <c r="C19" i="6" s="1"/>
  <c r="C22" i="6" s="1"/>
  <c r="E46" i="13"/>
  <c r="E51" i="6" s="1"/>
  <c r="E18" i="6"/>
  <c r="E19" i="6" s="1"/>
  <c r="D46" i="13"/>
  <c r="D25" i="3" s="1"/>
  <c r="D18" i="6"/>
  <c r="D19" i="6" s="1"/>
  <c r="G221" i="1"/>
  <c r="I221" i="1" s="1"/>
  <c r="K426" i="1"/>
  <c r="K424" i="1"/>
  <c r="J381" i="1"/>
  <c r="G512" i="1"/>
  <c r="L512" i="1" s="1"/>
  <c r="N512" i="1" s="1"/>
  <c r="G467" i="1"/>
  <c r="L11" i="22"/>
  <c r="M11" i="22" s="1"/>
  <c r="M13" i="22" s="1"/>
  <c r="E161" i="27" s="1"/>
  <c r="E163" i="27" s="1"/>
  <c r="F11" i="22"/>
  <c r="G503" i="1"/>
  <c r="G465" i="1"/>
  <c r="L11" i="16"/>
  <c r="M11" i="16" s="1"/>
  <c r="F11" i="16"/>
  <c r="F13" i="16" s="1"/>
  <c r="L11" i="18"/>
  <c r="M11" i="18" s="1"/>
  <c r="M13" i="18" s="1"/>
  <c r="E128" i="27" s="1"/>
  <c r="E130" i="27" s="1"/>
  <c r="F11" i="18"/>
  <c r="F13" i="18" s="1"/>
  <c r="M13" i="16"/>
  <c r="E62" i="27" s="1"/>
  <c r="E64" i="27" s="1"/>
  <c r="F13" i="22"/>
  <c r="L11" i="17"/>
  <c r="M11" i="17" s="1"/>
  <c r="M13" i="17" s="1"/>
  <c r="E95" i="27" s="1"/>
  <c r="E97" i="27" s="1"/>
  <c r="F11" i="17"/>
  <c r="F13" i="17" s="1"/>
  <c r="J541" i="1"/>
  <c r="H537" i="1"/>
  <c r="D25" i="1"/>
  <c r="I41" i="1"/>
  <c r="E266" i="1"/>
  <c r="G266" i="1" s="1"/>
  <c r="G28" i="1" s="1"/>
  <c r="E257" i="1"/>
  <c r="K379" i="1"/>
  <c r="K427" i="1"/>
  <c r="K469" i="1"/>
  <c r="J517" i="1"/>
  <c r="K514" i="1"/>
  <c r="J520" i="1"/>
  <c r="J518" i="1"/>
  <c r="J514" i="1"/>
  <c r="J519" i="1"/>
  <c r="I566" i="1"/>
  <c r="B37" i="15"/>
  <c r="B125" i="15" s="1"/>
  <c r="B140" i="15" s="1"/>
  <c r="H564" i="1"/>
  <c r="B35" i="15"/>
  <c r="B123" i="15" s="1"/>
  <c r="B138" i="15" s="1"/>
  <c r="K562" i="1"/>
  <c r="B34" i="15"/>
  <c r="B122" i="15" s="1"/>
  <c r="B137" i="15" s="1"/>
  <c r="H568" i="1"/>
  <c r="B38" i="15"/>
  <c r="B126" i="15" s="1"/>
  <c r="B141" i="15" s="1"/>
  <c r="H567" i="1"/>
  <c r="B32" i="15"/>
  <c r="B120" i="15" s="1"/>
  <c r="B135" i="15" s="1"/>
  <c r="J561" i="1"/>
  <c r="B33" i="15"/>
  <c r="B121" i="15" s="1"/>
  <c r="B136" i="15" s="1"/>
  <c r="H559" i="1"/>
  <c r="B29" i="15"/>
  <c r="B117" i="15" s="1"/>
  <c r="B132" i="15" s="1"/>
  <c r="J568" i="1"/>
  <c r="K566" i="1"/>
  <c r="K565" i="1"/>
  <c r="B36" i="15"/>
  <c r="B124" i="15" s="1"/>
  <c r="B139" i="15" s="1"/>
  <c r="K563" i="1"/>
  <c r="B31" i="15"/>
  <c r="B119" i="15" s="1"/>
  <c r="B134" i="15" s="1"/>
  <c r="I560" i="1"/>
  <c r="B30" i="15"/>
  <c r="B118" i="15" s="1"/>
  <c r="B133" i="15" s="1"/>
  <c r="J475" i="1"/>
  <c r="J473" i="1"/>
  <c r="J471" i="1"/>
  <c r="J424" i="1"/>
  <c r="K476" i="1"/>
  <c r="K380" i="1"/>
  <c r="K428" i="1"/>
  <c r="K522" i="1"/>
  <c r="J476" i="1"/>
  <c r="J474" i="1"/>
  <c r="J472" i="1"/>
  <c r="J470" i="1"/>
  <c r="K430" i="1"/>
  <c r="H39" i="1"/>
  <c r="B28" i="15"/>
  <c r="N46" i="13"/>
  <c r="N51" i="6" s="1"/>
  <c r="N18" i="6"/>
  <c r="J46" i="13"/>
  <c r="J51" i="6" s="1"/>
  <c r="J18" i="6"/>
  <c r="J19" i="6" s="1"/>
  <c r="F46" i="13"/>
  <c r="F51" i="6" s="1"/>
  <c r="F18" i="6"/>
  <c r="F19" i="6" s="1"/>
  <c r="M46" i="13"/>
  <c r="M51" i="6" s="1"/>
  <c r="M18" i="6"/>
  <c r="M19" i="6" s="1"/>
  <c r="I46" i="13"/>
  <c r="I51" i="6" s="1"/>
  <c r="I18" i="6"/>
  <c r="I19" i="6" s="1"/>
  <c r="L46" i="13"/>
  <c r="L25" i="3" s="1"/>
  <c r="L18" i="6"/>
  <c r="L19" i="6" s="1"/>
  <c r="H46" i="13"/>
  <c r="H25" i="3" s="1"/>
  <c r="H18" i="6"/>
  <c r="H19" i="6" s="1"/>
  <c r="K46" i="13"/>
  <c r="K25" i="3" s="1"/>
  <c r="K18" i="6"/>
  <c r="K19" i="6" s="1"/>
  <c r="G46" i="13"/>
  <c r="G25" i="3" s="1"/>
  <c r="G18" i="6"/>
  <c r="G19" i="6" s="1"/>
  <c r="D48" i="6"/>
  <c r="C38" i="6"/>
  <c r="C33" i="14"/>
  <c r="D51" i="6"/>
  <c r="K568" i="1"/>
  <c r="K567" i="1"/>
  <c r="J523" i="1"/>
  <c r="K523" i="1"/>
  <c r="J522" i="1"/>
  <c r="K521" i="1"/>
  <c r="K564" i="1"/>
  <c r="K520" i="1"/>
  <c r="K473" i="1"/>
  <c r="K429" i="1"/>
  <c r="J429" i="1"/>
  <c r="K472" i="1"/>
  <c r="J382" i="1"/>
  <c r="K382" i="1"/>
  <c r="K560" i="1"/>
  <c r="K561" i="1"/>
  <c r="J560" i="1"/>
  <c r="K516" i="1"/>
  <c r="K515" i="1"/>
  <c r="J515" i="1"/>
  <c r="K471" i="1"/>
  <c r="K470" i="1"/>
  <c r="J426" i="1"/>
  <c r="K335" i="1"/>
  <c r="J335" i="1"/>
  <c r="K289" i="1"/>
  <c r="C62" i="7"/>
  <c r="C33" i="7" s="1"/>
  <c r="G464" i="1"/>
  <c r="L464" i="1" s="1"/>
  <c r="N464" i="1" s="1"/>
  <c r="G509" i="1"/>
  <c r="L509" i="1" s="1"/>
  <c r="N509" i="1" s="1"/>
  <c r="H293" i="1"/>
  <c r="L293" i="1" s="1"/>
  <c r="N293" i="1" s="1"/>
  <c r="I241" i="1"/>
  <c r="L241" i="1" s="1"/>
  <c r="N241" i="1" s="1"/>
  <c r="J542" i="1"/>
  <c r="G504" i="1"/>
  <c r="L504" i="1" s="1"/>
  <c r="N504" i="1" s="1"/>
  <c r="G275" i="1"/>
  <c r="I275" i="1" s="1"/>
  <c r="F276" i="1"/>
  <c r="G459" i="1"/>
  <c r="J271" i="1"/>
  <c r="I147" i="1"/>
  <c r="L147" i="1" s="1"/>
  <c r="N147" i="1" s="1"/>
  <c r="I163" i="1"/>
  <c r="L163" i="1" s="1"/>
  <c r="N163" i="1" s="1"/>
  <c r="H97" i="1"/>
  <c r="L97" i="1" s="1"/>
  <c r="N97" i="1" s="1"/>
  <c r="J450" i="1"/>
  <c r="I314" i="1"/>
  <c r="K179" i="1"/>
  <c r="K176" i="1"/>
  <c r="J535" i="1"/>
  <c r="K315" i="1"/>
  <c r="J176" i="1"/>
  <c r="J129" i="1"/>
  <c r="K539" i="1"/>
  <c r="J543" i="1"/>
  <c r="J462" i="1"/>
  <c r="J451" i="1"/>
  <c r="J540" i="1"/>
  <c r="J538" i="1"/>
  <c r="K540" i="1"/>
  <c r="G545" i="1"/>
  <c r="F546" i="1"/>
  <c r="G552" i="1"/>
  <c r="F553" i="1"/>
  <c r="K550" i="1"/>
  <c r="K544" i="1"/>
  <c r="H543" i="1"/>
  <c r="K551" i="1"/>
  <c r="K541" i="1"/>
  <c r="K537" i="1"/>
  <c r="J551" i="1"/>
  <c r="K543" i="1"/>
  <c r="K542" i="1"/>
  <c r="J537" i="1"/>
  <c r="H551" i="1"/>
  <c r="J550" i="1"/>
  <c r="I559" i="1"/>
  <c r="I567" i="1"/>
  <c r="J506" i="1"/>
  <c r="K490" i="1"/>
  <c r="I462" i="1"/>
  <c r="J461" i="1"/>
  <c r="J407" i="1"/>
  <c r="K402" i="1"/>
  <c r="I515" i="1"/>
  <c r="K492" i="1"/>
  <c r="J492" i="1"/>
  <c r="J507" i="1"/>
  <c r="J505" i="1"/>
  <c r="H492" i="1"/>
  <c r="K500" i="1"/>
  <c r="J500" i="1"/>
  <c r="K499" i="1"/>
  <c r="K498" i="1"/>
  <c r="K497" i="1"/>
  <c r="K496" i="1"/>
  <c r="K495" i="1"/>
  <c r="K494" i="1"/>
  <c r="K493" i="1"/>
  <c r="J489" i="1"/>
  <c r="K507" i="1"/>
  <c r="K506" i="1"/>
  <c r="H500" i="1"/>
  <c r="J499" i="1"/>
  <c r="J498" i="1"/>
  <c r="J496" i="1"/>
  <c r="I472" i="1"/>
  <c r="J452" i="1"/>
  <c r="J460" i="1"/>
  <c r="J453" i="1"/>
  <c r="K460" i="1"/>
  <c r="K448" i="1"/>
  <c r="K445" i="1"/>
  <c r="K443" i="1"/>
  <c r="H449" i="1"/>
  <c r="J449" i="1"/>
  <c r="K449" i="1"/>
  <c r="K447" i="1"/>
  <c r="K455" i="1"/>
  <c r="K454" i="1"/>
  <c r="J448" i="1"/>
  <c r="J447" i="1"/>
  <c r="J454" i="1"/>
  <c r="K452" i="1"/>
  <c r="K403" i="1"/>
  <c r="J402" i="1"/>
  <c r="J408" i="1"/>
  <c r="J406" i="1"/>
  <c r="J403" i="1"/>
  <c r="K417" i="1"/>
  <c r="K416" i="1"/>
  <c r="K415" i="1"/>
  <c r="J416" i="1"/>
  <c r="K408" i="1"/>
  <c r="K407" i="1"/>
  <c r="K406" i="1"/>
  <c r="H436" i="1"/>
  <c r="I436" i="1"/>
  <c r="H399" i="1"/>
  <c r="J327" i="1"/>
  <c r="J319" i="1"/>
  <c r="J314" i="1"/>
  <c r="K273" i="1"/>
  <c r="J219" i="1"/>
  <c r="K177" i="1"/>
  <c r="K180" i="1"/>
  <c r="K178" i="1"/>
  <c r="J177" i="1"/>
  <c r="I50" i="1"/>
  <c r="L50" i="1" s="1"/>
  <c r="N50" i="1" s="1"/>
  <c r="K43" i="1"/>
  <c r="K320" i="1"/>
  <c r="J320" i="1"/>
  <c r="K316" i="1"/>
  <c r="J316" i="1"/>
  <c r="J313" i="1"/>
  <c r="H344" i="1"/>
  <c r="L344" i="1" s="1"/>
  <c r="N344" i="1" s="1"/>
  <c r="K312" i="1"/>
  <c r="I343" i="1"/>
  <c r="L343" i="1" s="1"/>
  <c r="N343" i="1" s="1"/>
  <c r="K325" i="1"/>
  <c r="K319" i="1"/>
  <c r="K362" i="1"/>
  <c r="K363" i="1"/>
  <c r="J363" i="1"/>
  <c r="I379" i="1"/>
  <c r="L377" i="1"/>
  <c r="N377" i="1" s="1"/>
  <c r="J361" i="1"/>
  <c r="K361" i="1"/>
  <c r="J358" i="1"/>
  <c r="K358" i="1"/>
  <c r="J365" i="1"/>
  <c r="J364" i="1"/>
  <c r="J357" i="1"/>
  <c r="K372" i="1"/>
  <c r="J372" i="1"/>
  <c r="K371" i="1"/>
  <c r="K370" i="1"/>
  <c r="K360" i="1"/>
  <c r="K359" i="1"/>
  <c r="H372" i="1"/>
  <c r="J371" i="1"/>
  <c r="J359" i="1"/>
  <c r="I326" i="1"/>
  <c r="K326" i="1"/>
  <c r="J326" i="1"/>
  <c r="I318" i="1"/>
  <c r="K318" i="1"/>
  <c r="J318" i="1"/>
  <c r="K317" i="1"/>
  <c r="K309" i="1"/>
  <c r="J317" i="1"/>
  <c r="K274" i="1"/>
  <c r="J273" i="1"/>
  <c r="H285" i="1"/>
  <c r="L285" i="1" s="1"/>
  <c r="N285" i="1" s="1"/>
  <c r="H272" i="1"/>
  <c r="K272" i="1"/>
  <c r="I280" i="1"/>
  <c r="L280" i="1" s="1"/>
  <c r="N280" i="1" s="1"/>
  <c r="H270" i="1"/>
  <c r="K270" i="1"/>
  <c r="J270" i="1"/>
  <c r="K269" i="1"/>
  <c r="K268" i="1"/>
  <c r="K267" i="1"/>
  <c r="J272" i="1"/>
  <c r="H227" i="1"/>
  <c r="J227" i="1"/>
  <c r="K227" i="1"/>
  <c r="H220" i="1"/>
  <c r="J220" i="1"/>
  <c r="K225" i="1"/>
  <c r="K223" i="1"/>
  <c r="K226" i="1"/>
  <c r="K224" i="1"/>
  <c r="K222" i="1"/>
  <c r="J226" i="1"/>
  <c r="J225" i="1"/>
  <c r="J223" i="1"/>
  <c r="J222" i="1"/>
  <c r="K181" i="1"/>
  <c r="J178" i="1"/>
  <c r="H207" i="1"/>
  <c r="I207" i="1"/>
  <c r="I190" i="1"/>
  <c r="H190" i="1"/>
  <c r="H183" i="1"/>
  <c r="I183" i="1"/>
  <c r="I191" i="1"/>
  <c r="L191" i="1" s="1"/>
  <c r="N191" i="1" s="1"/>
  <c r="J131" i="1"/>
  <c r="K131" i="1"/>
  <c r="H162" i="1"/>
  <c r="L162" i="1" s="1"/>
  <c r="N162" i="1" s="1"/>
  <c r="I132" i="1"/>
  <c r="J130" i="1"/>
  <c r="K134" i="1"/>
  <c r="K132" i="1"/>
  <c r="K133" i="1"/>
  <c r="J133" i="1"/>
  <c r="J90" i="1"/>
  <c r="K88" i="1"/>
  <c r="I91" i="1"/>
  <c r="L91" i="1" s="1"/>
  <c r="N91" i="1" s="1"/>
  <c r="J89" i="1"/>
  <c r="I102" i="1"/>
  <c r="L102" i="1" s="1"/>
  <c r="N102" i="1" s="1"/>
  <c r="J88" i="1"/>
  <c r="J86" i="1"/>
  <c r="J87" i="1"/>
  <c r="H87" i="1"/>
  <c r="K86" i="1"/>
  <c r="K89" i="1"/>
  <c r="I86" i="1"/>
  <c r="K45" i="1"/>
  <c r="J45" i="1"/>
  <c r="K42" i="1"/>
  <c r="J42" i="1"/>
  <c r="H66" i="1"/>
  <c r="L66" i="1" s="1"/>
  <c r="N66" i="1" s="1"/>
  <c r="K41" i="1"/>
  <c r="J41" i="1"/>
  <c r="H58" i="1"/>
  <c r="L58" i="1" s="1"/>
  <c r="N58" i="1" s="1"/>
  <c r="H428" i="1"/>
  <c r="I428" i="1"/>
  <c r="I381" i="1"/>
  <c r="H381" i="1"/>
  <c r="I139" i="1"/>
  <c r="H139" i="1"/>
  <c r="I404" i="1"/>
  <c r="H404" i="1"/>
  <c r="I103" i="1"/>
  <c r="H103" i="1"/>
  <c r="H516" i="1"/>
  <c r="I516" i="1"/>
  <c r="L420" i="1"/>
  <c r="N420" i="1" s="1"/>
  <c r="I250" i="1"/>
  <c r="H250" i="1"/>
  <c r="I523" i="1"/>
  <c r="I507" i="1"/>
  <c r="I198" i="1"/>
  <c r="L198" i="1" s="1"/>
  <c r="N198" i="1" s="1"/>
  <c r="I146" i="1"/>
  <c r="L146" i="1" s="1"/>
  <c r="N146" i="1" s="1"/>
  <c r="I133" i="1"/>
  <c r="N18" i="1"/>
  <c r="I6" i="2" s="1"/>
  <c r="J6" i="2" s="1"/>
  <c r="K19" i="1"/>
  <c r="N3" i="25" s="1"/>
  <c r="N11" i="25" s="1"/>
  <c r="N17" i="1"/>
  <c r="I5" i="2" s="1"/>
  <c r="J5" i="2" s="1"/>
  <c r="K5" i="2" s="1"/>
  <c r="L5" i="2" s="1"/>
  <c r="M5" i="2" s="1"/>
  <c r="N16" i="1"/>
  <c r="O16" i="3"/>
  <c r="H407" i="1"/>
  <c r="I270" i="1"/>
  <c r="H206" i="1"/>
  <c r="L206" i="1" s="1"/>
  <c r="N206" i="1" s="1"/>
  <c r="I182" i="1"/>
  <c r="L182" i="1" s="1"/>
  <c r="N182" i="1" s="1"/>
  <c r="H74" i="1"/>
  <c r="L74" i="1" s="1"/>
  <c r="N74" i="1" s="1"/>
  <c r="I65" i="1"/>
  <c r="L65" i="1" s="1"/>
  <c r="N65" i="1" s="1"/>
  <c r="I47" i="1"/>
  <c r="L47" i="1" s="1"/>
  <c r="N47" i="1" s="1"/>
  <c r="F38" i="6"/>
  <c r="G39" i="6" s="1"/>
  <c r="G6" i="8" s="1"/>
  <c r="K5" i="8"/>
  <c r="D15" i="4"/>
  <c r="M38" i="6"/>
  <c r="E38" i="6"/>
  <c r="J534" i="1"/>
  <c r="I534" i="1"/>
  <c r="K534" i="1"/>
  <c r="J488" i="1"/>
  <c r="K488" i="1"/>
  <c r="J490" i="1"/>
  <c r="H444" i="1"/>
  <c r="K444" i="1"/>
  <c r="J444" i="1"/>
  <c r="I400" i="1"/>
  <c r="K400" i="1"/>
  <c r="J400" i="1"/>
  <c r="H398" i="1"/>
  <c r="J398" i="1"/>
  <c r="K398" i="1"/>
  <c r="K399" i="1"/>
  <c r="J399" i="1"/>
  <c r="K354" i="1"/>
  <c r="I19" i="1"/>
  <c r="L3" i="25" s="1"/>
  <c r="L11" i="25" s="1"/>
  <c r="K355" i="1"/>
  <c r="J355" i="1"/>
  <c r="H308" i="1"/>
  <c r="J308" i="1"/>
  <c r="K308" i="1"/>
  <c r="K310" i="1"/>
  <c r="J310" i="1"/>
  <c r="J265" i="1"/>
  <c r="K265" i="1"/>
  <c r="J264" i="1"/>
  <c r="K264" i="1"/>
  <c r="K263" i="1"/>
  <c r="J218" i="1"/>
  <c r="K218" i="1"/>
  <c r="K220" i="1"/>
  <c r="I219" i="1"/>
  <c r="I220" i="1"/>
  <c r="K219" i="1"/>
  <c r="K174" i="1"/>
  <c r="J174" i="1"/>
  <c r="K175" i="1"/>
  <c r="J175" i="1"/>
  <c r="H175" i="1"/>
  <c r="K173" i="1"/>
  <c r="J128" i="1"/>
  <c r="K128" i="1"/>
  <c r="J84" i="1"/>
  <c r="K84" i="1"/>
  <c r="C25" i="1"/>
  <c r="K85" i="1"/>
  <c r="J85" i="1"/>
  <c r="C19" i="1"/>
  <c r="F3" i="25" s="1"/>
  <c r="F11" i="25" s="1"/>
  <c r="K83" i="1"/>
  <c r="J83" i="1"/>
  <c r="K40" i="1"/>
  <c r="J40" i="1"/>
  <c r="H243" i="1"/>
  <c r="I243" i="1"/>
  <c r="I282" i="1"/>
  <c r="H282" i="1"/>
  <c r="I106" i="1"/>
  <c r="H106" i="1"/>
  <c r="H155" i="1"/>
  <c r="I155" i="1"/>
  <c r="H242" i="1"/>
  <c r="I242" i="1"/>
  <c r="I63" i="1"/>
  <c r="L63" i="1" s="1"/>
  <c r="N63" i="1" s="1"/>
  <c r="H154" i="1"/>
  <c r="I154" i="1"/>
  <c r="H134" i="1"/>
  <c r="I134" i="1"/>
  <c r="I131" i="1"/>
  <c r="H131" i="1"/>
  <c r="I95" i="1"/>
  <c r="H95" i="1"/>
  <c r="H130" i="1"/>
  <c r="I130" i="1"/>
  <c r="I62" i="1"/>
  <c r="O8" i="3"/>
  <c r="I568" i="1"/>
  <c r="H560" i="1"/>
  <c r="I448" i="1"/>
  <c r="H359" i="1"/>
  <c r="I199" i="1"/>
  <c r="L199" i="1" s="1"/>
  <c r="N199" i="1" s="1"/>
  <c r="H129" i="1"/>
  <c r="I129" i="1"/>
  <c r="I98" i="1"/>
  <c r="L98" i="1" s="1"/>
  <c r="N98" i="1" s="1"/>
  <c r="N23" i="1"/>
  <c r="B10" i="2" s="1"/>
  <c r="C10" i="2" s="1"/>
  <c r="F25" i="1"/>
  <c r="H19" i="1"/>
  <c r="K3" i="25" s="1"/>
  <c r="K11" i="25" s="1"/>
  <c r="E2" i="14"/>
  <c r="D18" i="14"/>
  <c r="M44" i="6"/>
  <c r="M5" i="8"/>
  <c r="J38" i="6"/>
  <c r="H380" i="1"/>
  <c r="I380" i="1"/>
  <c r="H99" i="1"/>
  <c r="I99" i="1"/>
  <c r="H105" i="1"/>
  <c r="I105" i="1"/>
  <c r="H60" i="1"/>
  <c r="I60" i="1"/>
  <c r="H41" i="1"/>
  <c r="H90" i="1"/>
  <c r="I90" i="1"/>
  <c r="I415" i="1"/>
  <c r="H415" i="1"/>
  <c r="H234" i="1"/>
  <c r="I234" i="1"/>
  <c r="I111" i="1"/>
  <c r="H111" i="1"/>
  <c r="H104" i="1"/>
  <c r="I104" i="1"/>
  <c r="H61" i="1"/>
  <c r="I61" i="1"/>
  <c r="O11" i="3"/>
  <c r="D5" i="8"/>
  <c r="D44" i="6"/>
  <c r="I38" i="6"/>
  <c r="I39" i="6" s="1"/>
  <c r="I6" i="8" s="1"/>
  <c r="C49" i="7"/>
  <c r="H218" i="1"/>
  <c r="I218" i="1"/>
  <c r="H174" i="1"/>
  <c r="I174" i="1"/>
  <c r="H132" i="1"/>
  <c r="I121" i="1"/>
  <c r="L121" i="1" s="1"/>
  <c r="N121" i="1" s="1"/>
  <c r="I118" i="1"/>
  <c r="L118" i="1" s="1"/>
  <c r="N118" i="1" s="1"/>
  <c r="H101" i="1"/>
  <c r="L101" i="1" s="1"/>
  <c r="N101" i="1" s="1"/>
  <c r="C70" i="11"/>
  <c r="I388" i="1"/>
  <c r="H388" i="1"/>
  <c r="H208" i="1"/>
  <c r="I208" i="1"/>
  <c r="I67" i="1"/>
  <c r="H67" i="1"/>
  <c r="F527" i="1"/>
  <c r="I499" i="1"/>
  <c r="L456" i="1"/>
  <c r="I226" i="1"/>
  <c r="H62" i="1"/>
  <c r="H42" i="1"/>
  <c r="G19" i="1"/>
  <c r="J3" i="25" s="1"/>
  <c r="J11" i="25" s="1"/>
  <c r="C15" i="4"/>
  <c r="H336" i="1"/>
  <c r="I308" i="1"/>
  <c r="I192" i="1"/>
  <c r="L192" i="1" s="1"/>
  <c r="N192" i="1" s="1"/>
  <c r="I89" i="1"/>
  <c r="N38" i="6"/>
  <c r="N29" i="1"/>
  <c r="F25" i="14"/>
  <c r="F15" i="4" s="1"/>
  <c r="L19" i="1"/>
  <c r="O3" i="25" s="1"/>
  <c r="O11" i="25" s="1"/>
  <c r="D19" i="1"/>
  <c r="G3" i="25" s="1"/>
  <c r="G11" i="25" s="1"/>
  <c r="C8" i="7"/>
  <c r="C31" i="14"/>
  <c r="I38" i="1"/>
  <c r="H38" i="1"/>
  <c r="K39" i="1"/>
  <c r="J39" i="1"/>
  <c r="I39" i="1"/>
  <c r="K38" i="1"/>
  <c r="J38" i="1"/>
  <c r="H450" i="1"/>
  <c r="I450" i="1"/>
  <c r="H430" i="1"/>
  <c r="I430" i="1"/>
  <c r="H365" i="1"/>
  <c r="I365" i="1"/>
  <c r="I561" i="1"/>
  <c r="H561" i="1"/>
  <c r="H570" i="1"/>
  <c r="I570" i="1"/>
  <c r="H494" i="1"/>
  <c r="I494" i="1"/>
  <c r="H474" i="1"/>
  <c r="I474" i="1"/>
  <c r="I405" i="1"/>
  <c r="H519" i="1"/>
  <c r="I519" i="1"/>
  <c r="H489" i="1"/>
  <c r="I489" i="1"/>
  <c r="H387" i="1"/>
  <c r="I387" i="1"/>
  <c r="I363" i="1"/>
  <c r="H342" i="1"/>
  <c r="L342" i="1" s="1"/>
  <c r="N342" i="1" s="1"/>
  <c r="I333" i="1"/>
  <c r="L333" i="1" s="1"/>
  <c r="N333" i="1" s="1"/>
  <c r="I325" i="1"/>
  <c r="H325" i="1"/>
  <c r="L322" i="1"/>
  <c r="N322" i="1" s="1"/>
  <c r="H240" i="1"/>
  <c r="I240" i="1"/>
  <c r="H339" i="1"/>
  <c r="I339" i="1"/>
  <c r="H264" i="1"/>
  <c r="I264" i="1"/>
  <c r="H541" i="1"/>
  <c r="I541" i="1"/>
  <c r="I481" i="1"/>
  <c r="L481" i="1" s="1"/>
  <c r="N481" i="1" s="1"/>
  <c r="I449" i="1"/>
  <c r="H445" i="1"/>
  <c r="I445" i="1"/>
  <c r="H431" i="1"/>
  <c r="I431" i="1"/>
  <c r="H427" i="1"/>
  <c r="H410" i="1"/>
  <c r="I410" i="1"/>
  <c r="H406" i="1"/>
  <c r="H402" i="1"/>
  <c r="L376" i="1"/>
  <c r="N376" i="1" s="1"/>
  <c r="I361" i="1"/>
  <c r="H361" i="1"/>
  <c r="I299" i="1"/>
  <c r="H299" i="1"/>
  <c r="I283" i="1"/>
  <c r="H283" i="1"/>
  <c r="H269" i="1"/>
  <c r="I269" i="1"/>
  <c r="I267" i="1"/>
  <c r="H267" i="1"/>
  <c r="H571" i="1"/>
  <c r="I571" i="1"/>
  <c r="H538" i="1"/>
  <c r="I538" i="1"/>
  <c r="H477" i="1"/>
  <c r="I477" i="1"/>
  <c r="I473" i="1"/>
  <c r="H453" i="1"/>
  <c r="I453" i="1"/>
  <c r="L421" i="1"/>
  <c r="N421" i="1" s="1"/>
  <c r="H417" i="1"/>
  <c r="I417" i="1"/>
  <c r="F437" i="1"/>
  <c r="I385" i="1"/>
  <c r="H385" i="1"/>
  <c r="H364" i="1"/>
  <c r="I364" i="1"/>
  <c r="H358" i="1"/>
  <c r="I358" i="1"/>
  <c r="I355" i="1"/>
  <c r="H340" i="1"/>
  <c r="I340" i="1"/>
  <c r="I317" i="1"/>
  <c r="H312" i="1"/>
  <c r="I312" i="1"/>
  <c r="I309" i="1"/>
  <c r="H309" i="1"/>
  <c r="I195" i="1"/>
  <c r="H195" i="1"/>
  <c r="H193" i="1"/>
  <c r="I193" i="1"/>
  <c r="H85" i="1"/>
  <c r="G122" i="1"/>
  <c r="I360" i="1"/>
  <c r="H495" i="1"/>
  <c r="I495" i="1"/>
  <c r="F482" i="1"/>
  <c r="H469" i="1"/>
  <c r="I469" i="1"/>
  <c r="I382" i="1"/>
  <c r="H370" i="1"/>
  <c r="I370" i="1"/>
  <c r="F392" i="1"/>
  <c r="H289" i="1"/>
  <c r="I289" i="1"/>
  <c r="H120" i="1"/>
  <c r="I120" i="1"/>
  <c r="H117" i="1"/>
  <c r="I117" i="1"/>
  <c r="H110" i="1"/>
  <c r="I110" i="1"/>
  <c r="H562" i="1"/>
  <c r="I562" i="1"/>
  <c r="I493" i="1"/>
  <c r="I409" i="1"/>
  <c r="H345" i="1"/>
  <c r="I345" i="1"/>
  <c r="H316" i="1"/>
  <c r="I316" i="1"/>
  <c r="H288" i="1"/>
  <c r="I288" i="1"/>
  <c r="I537" i="1"/>
  <c r="H563" i="1"/>
  <c r="I563" i="1"/>
  <c r="H526" i="1"/>
  <c r="I526" i="1"/>
  <c r="H521" i="1"/>
  <c r="I521" i="1"/>
  <c r="I517" i="1"/>
  <c r="H461" i="1"/>
  <c r="I461" i="1"/>
  <c r="H443" i="1"/>
  <c r="I443" i="1"/>
  <c r="I429" i="1"/>
  <c r="H425" i="1"/>
  <c r="I425" i="1"/>
  <c r="H403" i="1"/>
  <c r="H362" i="1"/>
  <c r="I362" i="1"/>
  <c r="H315" i="1"/>
  <c r="I315" i="1"/>
  <c r="I287" i="1"/>
  <c r="H287" i="1"/>
  <c r="I231" i="1"/>
  <c r="H231" i="1"/>
  <c r="H204" i="1"/>
  <c r="I204" i="1"/>
  <c r="I115" i="1"/>
  <c r="L115" i="1" s="1"/>
  <c r="N115" i="1" s="1"/>
  <c r="H46" i="1"/>
  <c r="L46" i="1" s="1"/>
  <c r="N46" i="1" s="1"/>
  <c r="H497" i="1"/>
  <c r="I497" i="1"/>
  <c r="H539" i="1"/>
  <c r="I539" i="1"/>
  <c r="I535" i="1"/>
  <c r="H518" i="1"/>
  <c r="I518" i="1"/>
  <c r="I408" i="1"/>
  <c r="H389" i="1"/>
  <c r="I389" i="1"/>
  <c r="H386" i="1"/>
  <c r="I386" i="1"/>
  <c r="I383" i="1"/>
  <c r="L383" i="1" s="1"/>
  <c r="N383" i="1" s="1"/>
  <c r="I341" i="1"/>
  <c r="H341" i="1"/>
  <c r="H332" i="1"/>
  <c r="I332" i="1"/>
  <c r="I327" i="1"/>
  <c r="H327" i="1"/>
  <c r="H455" i="1"/>
  <c r="H384" i="1"/>
  <c r="I384" i="1"/>
  <c r="I357" i="1"/>
  <c r="H357" i="1"/>
  <c r="I186" i="1"/>
  <c r="H186" i="1"/>
  <c r="I569" i="1"/>
  <c r="I544" i="1"/>
  <c r="H565" i="1"/>
  <c r="I565" i="1"/>
  <c r="H544" i="1"/>
  <c r="H535" i="1"/>
  <c r="H505" i="1"/>
  <c r="I505" i="1"/>
  <c r="H493" i="1"/>
  <c r="H475" i="1"/>
  <c r="I475" i="1"/>
  <c r="I471" i="1"/>
  <c r="I455" i="1"/>
  <c r="H451" i="1"/>
  <c r="I451" i="1"/>
  <c r="H447" i="1"/>
  <c r="H433" i="1"/>
  <c r="I433" i="1"/>
  <c r="H409" i="1"/>
  <c r="H405" i="1"/>
  <c r="H360" i="1"/>
  <c r="H354" i="1"/>
  <c r="I354" i="1"/>
  <c r="H334" i="1"/>
  <c r="H318" i="1"/>
  <c r="H297" i="1"/>
  <c r="I297" i="1"/>
  <c r="H284" i="1"/>
  <c r="L284" i="1" s="1"/>
  <c r="N284" i="1" s="1"/>
  <c r="I255" i="1"/>
  <c r="H255" i="1"/>
  <c r="H252" i="1"/>
  <c r="I252" i="1"/>
  <c r="H245" i="1"/>
  <c r="I245" i="1"/>
  <c r="H229" i="1"/>
  <c r="I229" i="1"/>
  <c r="I223" i="1"/>
  <c r="I202" i="1"/>
  <c r="L202" i="1" s="1"/>
  <c r="N202" i="1" s="1"/>
  <c r="H180" i="1"/>
  <c r="I180" i="1"/>
  <c r="I151" i="1"/>
  <c r="H151" i="1"/>
  <c r="I100" i="1"/>
  <c r="H100" i="1"/>
  <c r="H68" i="1"/>
  <c r="I68" i="1"/>
  <c r="H566" i="1"/>
  <c r="H550" i="1"/>
  <c r="H542" i="1"/>
  <c r="H534" i="1"/>
  <c r="H522" i="1"/>
  <c r="H514" i="1"/>
  <c r="H506" i="1"/>
  <c r="H498" i="1"/>
  <c r="H490" i="1"/>
  <c r="H478" i="1"/>
  <c r="L478" i="1" s="1"/>
  <c r="N478" i="1" s="1"/>
  <c r="H470" i="1"/>
  <c r="H462" i="1"/>
  <c r="H454" i="1"/>
  <c r="H426" i="1"/>
  <c r="L418" i="1"/>
  <c r="N418" i="1" s="1"/>
  <c r="H400" i="1"/>
  <c r="I398" i="1"/>
  <c r="L375" i="1"/>
  <c r="N375" i="1" s="1"/>
  <c r="H335" i="1"/>
  <c r="L323" i="1"/>
  <c r="N323" i="1" s="1"/>
  <c r="H319" i="1"/>
  <c r="H313" i="1"/>
  <c r="I313" i="1"/>
  <c r="H300" i="1"/>
  <c r="L300" i="1" s="1"/>
  <c r="N300" i="1" s="1"/>
  <c r="H274" i="1"/>
  <c r="I274" i="1"/>
  <c r="H265" i="1"/>
  <c r="I265" i="1"/>
  <c r="H209" i="1"/>
  <c r="I209" i="1"/>
  <c r="H200" i="1"/>
  <c r="I200" i="1"/>
  <c r="I187" i="1"/>
  <c r="L187" i="1" s="1"/>
  <c r="N187" i="1" s="1"/>
  <c r="H144" i="1"/>
  <c r="I144" i="1"/>
  <c r="G44" i="1"/>
  <c r="B28" i="1" s="1"/>
  <c r="B31" i="1" s="1"/>
  <c r="F77" i="1"/>
  <c r="I564" i="1"/>
  <c r="I540" i="1"/>
  <c r="I520" i="1"/>
  <c r="I496" i="1"/>
  <c r="I488" i="1"/>
  <c r="I476" i="1"/>
  <c r="I460" i="1"/>
  <c r="I452" i="1"/>
  <c r="I444" i="1"/>
  <c r="I432" i="1"/>
  <c r="L432" i="1" s="1"/>
  <c r="N432" i="1" s="1"/>
  <c r="I424" i="1"/>
  <c r="I416" i="1"/>
  <c r="I391" i="1"/>
  <c r="L391" i="1" s="1"/>
  <c r="N391" i="1" s="1"/>
  <c r="I390" i="1"/>
  <c r="L390" i="1" s="1"/>
  <c r="N390" i="1" s="1"/>
  <c r="L374" i="1"/>
  <c r="N374" i="1" s="1"/>
  <c r="I371" i="1"/>
  <c r="L368" i="1"/>
  <c r="N368" i="1" s="1"/>
  <c r="H337" i="1"/>
  <c r="I337" i="1"/>
  <c r="H320" i="1"/>
  <c r="I320" i="1"/>
  <c r="I281" i="1"/>
  <c r="L281" i="1" s="1"/>
  <c r="N281" i="1" s="1"/>
  <c r="H253" i="1"/>
  <c r="I253" i="1"/>
  <c r="H249" i="1"/>
  <c r="I249" i="1"/>
  <c r="H232" i="1"/>
  <c r="I232" i="1"/>
  <c r="I159" i="1"/>
  <c r="H159" i="1"/>
  <c r="I128" i="1"/>
  <c r="H128" i="1"/>
  <c r="I116" i="1"/>
  <c r="H116" i="1"/>
  <c r="H76" i="1"/>
  <c r="L76" i="1" s="1"/>
  <c r="N76" i="1" s="1"/>
  <c r="H73" i="1"/>
  <c r="I73" i="1"/>
  <c r="H71" i="1"/>
  <c r="I71" i="1"/>
  <c r="G533" i="1"/>
  <c r="H488" i="1"/>
  <c r="L414" i="1"/>
  <c r="N414" i="1" s="1"/>
  <c r="L413" i="1"/>
  <c r="N413" i="1" s="1"/>
  <c r="H346" i="1"/>
  <c r="L346" i="1" s="1"/>
  <c r="N346" i="1" s="1"/>
  <c r="L330" i="1"/>
  <c r="N330" i="1" s="1"/>
  <c r="H314" i="1"/>
  <c r="H298" i="1"/>
  <c r="L298" i="1" s="1"/>
  <c r="N298" i="1" s="1"/>
  <c r="H271" i="1"/>
  <c r="I271" i="1"/>
  <c r="H268" i="1"/>
  <c r="I268" i="1"/>
  <c r="I239" i="1"/>
  <c r="H239" i="1"/>
  <c r="H224" i="1"/>
  <c r="I224" i="1"/>
  <c r="I203" i="1"/>
  <c r="L203" i="1" s="1"/>
  <c r="N203" i="1" s="1"/>
  <c r="H196" i="1"/>
  <c r="I196" i="1"/>
  <c r="H194" i="1"/>
  <c r="I194" i="1"/>
  <c r="H152" i="1"/>
  <c r="I152" i="1"/>
  <c r="H140" i="1"/>
  <c r="I140" i="1"/>
  <c r="I119" i="1"/>
  <c r="H119" i="1"/>
  <c r="I114" i="1"/>
  <c r="H114" i="1"/>
  <c r="H52" i="1"/>
  <c r="I52" i="1"/>
  <c r="L378" i="1"/>
  <c r="N378" i="1" s="1"/>
  <c r="H338" i="1"/>
  <c r="L338" i="1" s="1"/>
  <c r="N338" i="1" s="1"/>
  <c r="H326" i="1"/>
  <c r="H310" i="1"/>
  <c r="F347" i="1"/>
  <c r="H296" i="1"/>
  <c r="I296" i="1"/>
  <c r="H290" i="1"/>
  <c r="I290" i="1"/>
  <c r="I286" i="1"/>
  <c r="L286" i="1" s="1"/>
  <c r="N286" i="1" s="1"/>
  <c r="H263" i="1"/>
  <c r="I263" i="1"/>
  <c r="H256" i="1"/>
  <c r="I256" i="1"/>
  <c r="H254" i="1"/>
  <c r="I254" i="1"/>
  <c r="H246" i="1"/>
  <c r="I246" i="1"/>
  <c r="G244" i="1"/>
  <c r="F257" i="1"/>
  <c r="H230" i="1"/>
  <c r="I230" i="1"/>
  <c r="H228" i="1"/>
  <c r="I228" i="1"/>
  <c r="H188" i="1"/>
  <c r="I188" i="1"/>
  <c r="H112" i="1"/>
  <c r="I112" i="1"/>
  <c r="H107" i="1"/>
  <c r="I107" i="1"/>
  <c r="H94" i="1"/>
  <c r="I94" i="1"/>
  <c r="H251" i="1"/>
  <c r="I251" i="1"/>
  <c r="H210" i="1"/>
  <c r="I210" i="1"/>
  <c r="I201" i="1"/>
  <c r="L201" i="1" s="1"/>
  <c r="N201" i="1" s="1"/>
  <c r="I179" i="1"/>
  <c r="H179" i="1"/>
  <c r="H160" i="1"/>
  <c r="I160" i="1"/>
  <c r="H143" i="1"/>
  <c r="I143" i="1"/>
  <c r="G135" i="1"/>
  <c r="D28" i="1" s="1"/>
  <c r="F167" i="1"/>
  <c r="H45" i="1"/>
  <c r="I59" i="1"/>
  <c r="H59" i="1"/>
  <c r="H55" i="1"/>
  <c r="L55" i="1" s="1"/>
  <c r="N55" i="1" s="1"/>
  <c r="H301" i="1"/>
  <c r="L301" i="1" s="1"/>
  <c r="N301" i="1" s="1"/>
  <c r="I227" i="1"/>
  <c r="H211" i="1"/>
  <c r="L211" i="1" s="1"/>
  <c r="N211" i="1" s="1"/>
  <c r="H205" i="1"/>
  <c r="I205" i="1"/>
  <c r="H189" i="1"/>
  <c r="I189" i="1"/>
  <c r="H141" i="1"/>
  <c r="L141" i="1" s="1"/>
  <c r="N141" i="1" s="1"/>
  <c r="H137" i="1"/>
  <c r="I137" i="1"/>
  <c r="I72" i="1"/>
  <c r="H72" i="1"/>
  <c r="H69" i="1"/>
  <c r="I69" i="1"/>
  <c r="D71" i="11"/>
  <c r="I295" i="1"/>
  <c r="L295" i="1" s="1"/>
  <c r="N295" i="1" s="1"/>
  <c r="I294" i="1"/>
  <c r="L294" i="1" s="1"/>
  <c r="N294" i="1" s="1"/>
  <c r="I273" i="1"/>
  <c r="I272" i="1"/>
  <c r="I238" i="1"/>
  <c r="L238" i="1" s="1"/>
  <c r="N238" i="1" s="1"/>
  <c r="I237" i="1"/>
  <c r="L237" i="1" s="1"/>
  <c r="N237" i="1" s="1"/>
  <c r="I236" i="1"/>
  <c r="L236" i="1" s="1"/>
  <c r="N236" i="1" s="1"/>
  <c r="I235" i="1"/>
  <c r="L235" i="1" s="1"/>
  <c r="N235" i="1" s="1"/>
  <c r="I225" i="1"/>
  <c r="G212" i="1"/>
  <c r="H142" i="1"/>
  <c r="I142" i="1"/>
  <c r="I92" i="1"/>
  <c r="L92" i="1" s="1"/>
  <c r="N92" i="1" s="1"/>
  <c r="I56" i="1"/>
  <c r="L56" i="1" s="1"/>
  <c r="N56" i="1" s="1"/>
  <c r="I48" i="1"/>
  <c r="L48" i="1" s="1"/>
  <c r="N48" i="1" s="1"/>
  <c r="I292" i="1"/>
  <c r="L292" i="1" s="1"/>
  <c r="N292" i="1" s="1"/>
  <c r="H291" i="1"/>
  <c r="L291" i="1" s="1"/>
  <c r="N291" i="1" s="1"/>
  <c r="H247" i="1"/>
  <c r="L247" i="1" s="1"/>
  <c r="N247" i="1" s="1"/>
  <c r="I233" i="1"/>
  <c r="L233" i="1" s="1"/>
  <c r="N233" i="1" s="1"/>
  <c r="F212" i="1"/>
  <c r="H181" i="1"/>
  <c r="I181" i="1"/>
  <c r="H173" i="1"/>
  <c r="I173" i="1"/>
  <c r="H161" i="1"/>
  <c r="I161" i="1"/>
  <c r="H153" i="1"/>
  <c r="I153" i="1"/>
  <c r="H145" i="1"/>
  <c r="I145" i="1"/>
  <c r="H109" i="1"/>
  <c r="I109" i="1"/>
  <c r="I87" i="1"/>
  <c r="H83" i="1"/>
  <c r="H70" i="1"/>
  <c r="I70" i="1"/>
  <c r="H53" i="1"/>
  <c r="L53" i="1" s="1"/>
  <c r="N53" i="1" s="1"/>
  <c r="H49" i="1"/>
  <c r="L49" i="1" s="1"/>
  <c r="N49" i="1" s="1"/>
  <c r="F19" i="1"/>
  <c r="I3" i="25" s="1"/>
  <c r="I11" i="25" s="1"/>
  <c r="H248" i="1"/>
  <c r="I248" i="1"/>
  <c r="H184" i="1"/>
  <c r="L184" i="1" s="1"/>
  <c r="N184" i="1" s="1"/>
  <c r="H176" i="1"/>
  <c r="H164" i="1"/>
  <c r="L164" i="1" s="1"/>
  <c r="N164" i="1" s="1"/>
  <c r="H156" i="1"/>
  <c r="L156" i="1" s="1"/>
  <c r="N156" i="1" s="1"/>
  <c r="H148" i="1"/>
  <c r="L148" i="1" s="1"/>
  <c r="N148" i="1" s="1"/>
  <c r="H138" i="1"/>
  <c r="I138" i="1"/>
  <c r="I113" i="1"/>
  <c r="L113" i="1" s="1"/>
  <c r="N113" i="1" s="1"/>
  <c r="H96" i="1"/>
  <c r="I96" i="1"/>
  <c r="I84" i="1"/>
  <c r="H84" i="1"/>
  <c r="H57" i="1"/>
  <c r="I57" i="1"/>
  <c r="M19" i="1"/>
  <c r="P3" i="25" s="1"/>
  <c r="P11" i="25" s="1"/>
  <c r="E19" i="1"/>
  <c r="H3" i="25" s="1"/>
  <c r="H11" i="25" s="1"/>
  <c r="H197" i="1"/>
  <c r="I197" i="1"/>
  <c r="I185" i="1"/>
  <c r="L185" i="1" s="1"/>
  <c r="N185" i="1" s="1"/>
  <c r="I178" i="1"/>
  <c r="I177" i="1"/>
  <c r="I166" i="1"/>
  <c r="L166" i="1" s="1"/>
  <c r="N166" i="1" s="1"/>
  <c r="I165" i="1"/>
  <c r="L165" i="1" s="1"/>
  <c r="N165" i="1" s="1"/>
  <c r="I158" i="1"/>
  <c r="L158" i="1" s="1"/>
  <c r="N158" i="1" s="1"/>
  <c r="I157" i="1"/>
  <c r="L157" i="1" s="1"/>
  <c r="N157" i="1" s="1"/>
  <c r="I150" i="1"/>
  <c r="L150" i="1" s="1"/>
  <c r="N150" i="1" s="1"/>
  <c r="I149" i="1"/>
  <c r="L149" i="1" s="1"/>
  <c r="N149" i="1" s="1"/>
  <c r="H93" i="1"/>
  <c r="L93" i="1" s="1"/>
  <c r="N93" i="1" s="1"/>
  <c r="H88" i="1"/>
  <c r="F122" i="1"/>
  <c r="I75" i="1"/>
  <c r="H75" i="1"/>
  <c r="H54" i="1"/>
  <c r="L54" i="1" s="1"/>
  <c r="N54" i="1" s="1"/>
  <c r="I51" i="1"/>
  <c r="L51" i="1" s="1"/>
  <c r="N51" i="1" s="1"/>
  <c r="E25" i="1"/>
  <c r="I64" i="1"/>
  <c r="L64" i="1" s="1"/>
  <c r="N64" i="1" s="1"/>
  <c r="I40" i="1"/>
  <c r="J19" i="1"/>
  <c r="M3" i="25" s="1"/>
  <c r="M11" i="25" s="1"/>
  <c r="B19" i="1"/>
  <c r="E3" i="25" s="1"/>
  <c r="E11" i="25" s="1"/>
  <c r="I136" i="1"/>
  <c r="L136" i="1" s="1"/>
  <c r="N136" i="1" s="1"/>
  <c r="I108" i="1"/>
  <c r="L108" i="1" s="1"/>
  <c r="N108" i="1" s="1"/>
  <c r="B25" i="1"/>
  <c r="H43" i="1"/>
  <c r="I43" i="1"/>
  <c r="O44" i="13"/>
  <c r="D23" i="14"/>
  <c r="C13" i="4"/>
  <c r="C21" i="4"/>
  <c r="D30" i="14"/>
  <c r="C12" i="4"/>
  <c r="D22" i="14"/>
  <c r="C16" i="4"/>
  <c r="D26" i="14"/>
  <c r="C19" i="4"/>
  <c r="D29" i="14"/>
  <c r="C11" i="4"/>
  <c r="D21" i="14"/>
  <c r="O10" i="3"/>
  <c r="C48" i="7"/>
  <c r="C17" i="4"/>
  <c r="D27" i="14"/>
  <c r="D19" i="14"/>
  <c r="C9" i="4"/>
  <c r="O14" i="3"/>
  <c r="O15" i="3"/>
  <c r="C14" i="4"/>
  <c r="D24" i="14"/>
  <c r="O13" i="3"/>
  <c r="D28" i="14"/>
  <c r="C18" i="4"/>
  <c r="O20" i="3"/>
  <c r="O17" i="3"/>
  <c r="D10" i="8"/>
  <c r="D11" i="8" s="1"/>
  <c r="E18" i="14"/>
  <c r="F2" i="14"/>
  <c r="O18" i="3"/>
  <c r="J44" i="6"/>
  <c r="I5" i="8"/>
  <c r="I44" i="6"/>
  <c r="J5" i="8"/>
  <c r="O12" i="3"/>
  <c r="H5" i="8"/>
  <c r="O9" i="3"/>
  <c r="O5" i="8" s="1"/>
  <c r="G5" i="8"/>
  <c r="G44" i="6"/>
  <c r="E5" i="8"/>
  <c r="N5" i="8"/>
  <c r="N44" i="6"/>
  <c r="F5" i="8"/>
  <c r="F44" i="6"/>
  <c r="D60" i="7"/>
  <c r="C5" i="8"/>
  <c r="L44" i="6"/>
  <c r="L38" i="6"/>
  <c r="D38" i="6"/>
  <c r="K38" i="6"/>
  <c r="C39" i="6"/>
  <c r="C6" i="8" s="1"/>
  <c r="C11" i="8"/>
  <c r="C45" i="6"/>
  <c r="D42" i="6" s="1"/>
  <c r="H39" i="6"/>
  <c r="H6" i="8" s="1"/>
  <c r="E57" i="16" l="1"/>
  <c r="C57" i="16"/>
  <c r="C58" i="16" s="1"/>
  <c r="B57" i="16"/>
  <c r="B36" i="16" s="1"/>
  <c r="D57" i="16"/>
  <c r="R32" i="19"/>
  <c r="V32" i="19"/>
  <c r="N32" i="19"/>
  <c r="O32" i="19"/>
  <c r="S32" i="19"/>
  <c r="W32" i="19"/>
  <c r="P32" i="19"/>
  <c r="T32" i="19"/>
  <c r="X32" i="19"/>
  <c r="Q32" i="19"/>
  <c r="U32" i="19"/>
  <c r="Y32" i="19"/>
  <c r="L334" i="1"/>
  <c r="C56" i="31"/>
  <c r="C57" i="31" s="1"/>
  <c r="C58" i="31" s="1"/>
  <c r="B36" i="31"/>
  <c r="B58" i="31"/>
  <c r="D70" i="29"/>
  <c r="B70" i="29"/>
  <c r="B42" i="29" s="1"/>
  <c r="G423" i="1"/>
  <c r="J24" i="1"/>
  <c r="L336" i="1"/>
  <c r="E70" i="29"/>
  <c r="F70" i="29"/>
  <c r="C70" i="29"/>
  <c r="C71" i="29" s="1"/>
  <c r="C72" i="29" s="1"/>
  <c r="G70" i="29"/>
  <c r="F28" i="1"/>
  <c r="E19" i="25"/>
  <c r="G19" i="25" s="1"/>
  <c r="F56" i="17"/>
  <c r="B56" i="17"/>
  <c r="B35" i="17" s="1" a="1"/>
  <c r="B35" i="17" s="1"/>
  <c r="E56" i="17"/>
  <c r="D56" i="17"/>
  <c r="C56" i="17"/>
  <c r="C57" i="17" s="1"/>
  <c r="G56" i="17"/>
  <c r="D56" i="18"/>
  <c r="C56" i="18"/>
  <c r="B56" i="18"/>
  <c r="B39" i="18" s="1"/>
  <c r="F72" i="22"/>
  <c r="B72" i="22"/>
  <c r="B43" i="22" s="1"/>
  <c r="B44" i="22" s="1"/>
  <c r="E72" i="22"/>
  <c r="D72" i="22"/>
  <c r="C72" i="22"/>
  <c r="C73" i="22" s="1"/>
  <c r="L427" i="1"/>
  <c r="P144" i="15"/>
  <c r="AF144" i="15"/>
  <c r="AV144" i="15"/>
  <c r="Q144" i="15"/>
  <c r="AG144" i="15"/>
  <c r="AW144" i="15"/>
  <c r="M144" i="15"/>
  <c r="N145" i="15" s="1"/>
  <c r="AD144" i="15"/>
  <c r="AT144" i="15"/>
  <c r="BJ144" i="15"/>
  <c r="S144" i="15"/>
  <c r="AM144" i="15"/>
  <c r="BG144" i="15"/>
  <c r="AR144" i="15"/>
  <c r="AP144" i="15"/>
  <c r="W144" i="15"/>
  <c r="T144" i="15"/>
  <c r="AJ144" i="15"/>
  <c r="AZ144" i="15"/>
  <c r="U144" i="15"/>
  <c r="AK144" i="15"/>
  <c r="BA144" i="15"/>
  <c r="R144" i="15"/>
  <c r="AH144" i="15"/>
  <c r="AX144" i="15"/>
  <c r="O144" i="15"/>
  <c r="AI144" i="15"/>
  <c r="BC144" i="15"/>
  <c r="BH144" i="15"/>
  <c r="AC144" i="15"/>
  <c r="AS144" i="15"/>
  <c r="BI144" i="15"/>
  <c r="BF144" i="15"/>
  <c r="AU144" i="15"/>
  <c r="X144" i="15"/>
  <c r="AN144" i="15"/>
  <c r="BD144" i="15"/>
  <c r="Y144" i="15"/>
  <c r="AO144" i="15"/>
  <c r="BE144" i="15"/>
  <c r="V144" i="15"/>
  <c r="AL144" i="15"/>
  <c r="BB144" i="15"/>
  <c r="AE144" i="15"/>
  <c r="AY144" i="15"/>
  <c r="AA144" i="15"/>
  <c r="AB144" i="15"/>
  <c r="Z144" i="15"/>
  <c r="AQ144" i="15"/>
  <c r="R139" i="15"/>
  <c r="O139" i="15"/>
  <c r="P139" i="15"/>
  <c r="U139" i="15"/>
  <c r="Y139" i="15"/>
  <c r="AC139" i="15"/>
  <c r="AG139" i="15"/>
  <c r="AK139" i="15"/>
  <c r="AO139" i="15"/>
  <c r="AS139" i="15"/>
  <c r="AW139" i="15"/>
  <c r="BA139" i="15"/>
  <c r="BE139" i="15"/>
  <c r="BI139" i="15"/>
  <c r="T139" i="15"/>
  <c r="AF139" i="15"/>
  <c r="AJ139" i="15"/>
  <c r="AV139" i="15"/>
  <c r="BH139" i="15"/>
  <c r="Q139" i="15"/>
  <c r="V139" i="15"/>
  <c r="Z139" i="15"/>
  <c r="AD139" i="15"/>
  <c r="AH139" i="15"/>
  <c r="AL139" i="15"/>
  <c r="AP139" i="15"/>
  <c r="AT139" i="15"/>
  <c r="AX139" i="15"/>
  <c r="BB139" i="15"/>
  <c r="BF139" i="15"/>
  <c r="BJ139" i="15"/>
  <c r="X139" i="15"/>
  <c r="AN139" i="15"/>
  <c r="AZ139" i="15"/>
  <c r="S139" i="15"/>
  <c r="W139" i="15"/>
  <c r="AA139" i="15"/>
  <c r="AE139" i="15"/>
  <c r="AI139" i="15"/>
  <c r="AM139" i="15"/>
  <c r="AQ139" i="15"/>
  <c r="AU139" i="15"/>
  <c r="AY139" i="15"/>
  <c r="BC139" i="15"/>
  <c r="BG139" i="15"/>
  <c r="AB139" i="15"/>
  <c r="AR139" i="15"/>
  <c r="BD139" i="15"/>
  <c r="Q140" i="15"/>
  <c r="U140" i="15"/>
  <c r="Y140" i="15"/>
  <c r="AC140" i="15"/>
  <c r="AG140" i="15"/>
  <c r="AK140" i="15"/>
  <c r="AO140" i="15"/>
  <c r="AS140" i="15"/>
  <c r="AW140" i="15"/>
  <c r="BA140" i="15"/>
  <c r="BE140" i="15"/>
  <c r="BI140" i="15"/>
  <c r="T140" i="15"/>
  <c r="AF140" i="15"/>
  <c r="AR140" i="15"/>
  <c r="BD140" i="15"/>
  <c r="R140" i="15"/>
  <c r="V140" i="15"/>
  <c r="Z140" i="15"/>
  <c r="AD140" i="15"/>
  <c r="AH140" i="15"/>
  <c r="AL140" i="15"/>
  <c r="AP140" i="15"/>
  <c r="AT140" i="15"/>
  <c r="AX140" i="15"/>
  <c r="BB140" i="15"/>
  <c r="BF140" i="15"/>
  <c r="BJ140" i="15"/>
  <c r="P140" i="15"/>
  <c r="AB140" i="15"/>
  <c r="AN140" i="15"/>
  <c r="AZ140" i="15"/>
  <c r="BH140" i="15"/>
  <c r="O140" i="15"/>
  <c r="S140" i="15"/>
  <c r="W140" i="15"/>
  <c r="AA140" i="15"/>
  <c r="AE140" i="15"/>
  <c r="AI140" i="15"/>
  <c r="AM140" i="15"/>
  <c r="AQ140" i="15"/>
  <c r="AU140" i="15"/>
  <c r="AY140" i="15"/>
  <c r="BC140" i="15"/>
  <c r="BG140" i="15"/>
  <c r="X140" i="15"/>
  <c r="AJ140" i="15"/>
  <c r="AV140" i="15"/>
  <c r="R132" i="15"/>
  <c r="V132" i="15"/>
  <c r="Z132" i="15"/>
  <c r="AD132" i="15"/>
  <c r="AH132" i="15"/>
  <c r="AL132" i="15"/>
  <c r="AP132" i="15"/>
  <c r="AT132" i="15"/>
  <c r="AX132" i="15"/>
  <c r="BB132" i="15"/>
  <c r="BF132" i="15"/>
  <c r="BJ132" i="15"/>
  <c r="O132" i="15"/>
  <c r="S132" i="15"/>
  <c r="W132" i="15"/>
  <c r="AA132" i="15"/>
  <c r="AE132" i="15"/>
  <c r="AI132" i="15"/>
  <c r="AM132" i="15"/>
  <c r="AQ132" i="15"/>
  <c r="AU132" i="15"/>
  <c r="AY132" i="15"/>
  <c r="BC132" i="15"/>
  <c r="BG132" i="15"/>
  <c r="P132" i="15"/>
  <c r="T132" i="15"/>
  <c r="X132" i="15"/>
  <c r="AB132" i="15"/>
  <c r="AF132" i="15"/>
  <c r="AJ132" i="15"/>
  <c r="AN132" i="15"/>
  <c r="AR132" i="15"/>
  <c r="AV132" i="15"/>
  <c r="AZ132" i="15"/>
  <c r="BD132" i="15"/>
  <c r="BH132" i="15"/>
  <c r="AC132" i="15"/>
  <c r="AS132" i="15"/>
  <c r="BI132" i="15"/>
  <c r="Y132" i="15"/>
  <c r="Q132" i="15"/>
  <c r="AG132" i="15"/>
  <c r="AW132" i="15"/>
  <c r="AO132" i="15"/>
  <c r="U132" i="15"/>
  <c r="AK132" i="15"/>
  <c r="BA132" i="15"/>
  <c r="BE132" i="15"/>
  <c r="R137" i="15"/>
  <c r="V137" i="15"/>
  <c r="Z137" i="15"/>
  <c r="AD137" i="15"/>
  <c r="AH137" i="15"/>
  <c r="AL137" i="15"/>
  <c r="AP137" i="15"/>
  <c r="AT137" i="15"/>
  <c r="AX137" i="15"/>
  <c r="BB137" i="15"/>
  <c r="BF137" i="15"/>
  <c r="BJ137" i="15"/>
  <c r="O137" i="15"/>
  <c r="S137" i="15"/>
  <c r="W137" i="15"/>
  <c r="AA137" i="15"/>
  <c r="AE137" i="15"/>
  <c r="AI137" i="15"/>
  <c r="AM137" i="15"/>
  <c r="AQ137" i="15"/>
  <c r="AU137" i="15"/>
  <c r="AY137" i="15"/>
  <c r="BC137" i="15"/>
  <c r="BG137" i="15"/>
  <c r="P137" i="15"/>
  <c r="T137" i="15"/>
  <c r="X137" i="15"/>
  <c r="AB137" i="15"/>
  <c r="AF137" i="15"/>
  <c r="AJ137" i="15"/>
  <c r="AN137" i="15"/>
  <c r="AR137" i="15"/>
  <c r="AV137" i="15"/>
  <c r="AZ137" i="15"/>
  <c r="BD137" i="15"/>
  <c r="BH137" i="15"/>
  <c r="AC137" i="15"/>
  <c r="AS137" i="15"/>
  <c r="BI137" i="15"/>
  <c r="AO137" i="15"/>
  <c r="Q137" i="15"/>
  <c r="AG137" i="15"/>
  <c r="AW137" i="15"/>
  <c r="Y137" i="15"/>
  <c r="BE137" i="15"/>
  <c r="U137" i="15"/>
  <c r="AK137" i="15"/>
  <c r="BA137" i="15"/>
  <c r="R134" i="15"/>
  <c r="V134" i="15"/>
  <c r="Z134" i="15"/>
  <c r="AD134" i="15"/>
  <c r="AH134" i="15"/>
  <c r="AL134" i="15"/>
  <c r="AP134" i="15"/>
  <c r="AT134" i="15"/>
  <c r="AX134" i="15"/>
  <c r="BB134" i="15"/>
  <c r="BF134" i="15"/>
  <c r="BJ134" i="15"/>
  <c r="O134" i="15"/>
  <c r="S134" i="15"/>
  <c r="W134" i="15"/>
  <c r="AA134" i="15"/>
  <c r="AE134" i="15"/>
  <c r="AI134" i="15"/>
  <c r="AM134" i="15"/>
  <c r="AQ134" i="15"/>
  <c r="AU134" i="15"/>
  <c r="AY134" i="15"/>
  <c r="BC134" i="15"/>
  <c r="BG134" i="15"/>
  <c r="P134" i="15"/>
  <c r="T134" i="15"/>
  <c r="X134" i="15"/>
  <c r="AB134" i="15"/>
  <c r="AF134" i="15"/>
  <c r="AJ134" i="15"/>
  <c r="AN134" i="15"/>
  <c r="AR134" i="15"/>
  <c r="AV134" i="15"/>
  <c r="AZ134" i="15"/>
  <c r="BD134" i="15"/>
  <c r="BH134" i="15"/>
  <c r="AC134" i="15"/>
  <c r="AS134" i="15"/>
  <c r="BI134" i="15"/>
  <c r="Y134" i="15"/>
  <c r="BE134" i="15"/>
  <c r="Q134" i="15"/>
  <c r="AG134" i="15"/>
  <c r="AW134" i="15"/>
  <c r="AO134" i="15"/>
  <c r="U134" i="15"/>
  <c r="AK134" i="15"/>
  <c r="BA134" i="15"/>
  <c r="R136" i="15"/>
  <c r="V136" i="15"/>
  <c r="Z136" i="15"/>
  <c r="AD136" i="15"/>
  <c r="AH136" i="15"/>
  <c r="AL136" i="15"/>
  <c r="AP136" i="15"/>
  <c r="AT136" i="15"/>
  <c r="AX136" i="15"/>
  <c r="BB136" i="15"/>
  <c r="BF136" i="15"/>
  <c r="BJ136" i="15"/>
  <c r="O136" i="15"/>
  <c r="S136" i="15"/>
  <c r="W136" i="15"/>
  <c r="AA136" i="15"/>
  <c r="AE136" i="15"/>
  <c r="AI136" i="15"/>
  <c r="AM136" i="15"/>
  <c r="AQ136" i="15"/>
  <c r="AU136" i="15"/>
  <c r="AY136" i="15"/>
  <c r="BC136" i="15"/>
  <c r="BG136" i="15"/>
  <c r="P136" i="15"/>
  <c r="T136" i="15"/>
  <c r="X136" i="15"/>
  <c r="AB136" i="15"/>
  <c r="AF136" i="15"/>
  <c r="AJ136" i="15"/>
  <c r="AN136" i="15"/>
  <c r="AR136" i="15"/>
  <c r="AV136" i="15"/>
  <c r="AZ136" i="15"/>
  <c r="BD136" i="15"/>
  <c r="BH136" i="15"/>
  <c r="AC136" i="15"/>
  <c r="AS136" i="15"/>
  <c r="BI136" i="15"/>
  <c r="AO136" i="15"/>
  <c r="BE136" i="15"/>
  <c r="Q136" i="15"/>
  <c r="AG136" i="15"/>
  <c r="AW136" i="15"/>
  <c r="Y136" i="15"/>
  <c r="U136" i="15"/>
  <c r="AK136" i="15"/>
  <c r="BA136" i="15"/>
  <c r="Q141" i="15"/>
  <c r="U141" i="15"/>
  <c r="Y141" i="15"/>
  <c r="AC141" i="15"/>
  <c r="AG141" i="15"/>
  <c r="AK141" i="15"/>
  <c r="AO141" i="15"/>
  <c r="AS141" i="15"/>
  <c r="AW141" i="15"/>
  <c r="BA141" i="15"/>
  <c r="BE141" i="15"/>
  <c r="BI141" i="15"/>
  <c r="T141" i="15"/>
  <c r="X141" i="15"/>
  <c r="AJ141" i="15"/>
  <c r="AV141" i="15"/>
  <c r="BH141" i="15"/>
  <c r="R141" i="15"/>
  <c r="V141" i="15"/>
  <c r="Z141" i="15"/>
  <c r="AD141" i="15"/>
  <c r="AH141" i="15"/>
  <c r="AL141" i="15"/>
  <c r="AP141" i="15"/>
  <c r="AT141" i="15"/>
  <c r="AX141" i="15"/>
  <c r="BB141" i="15"/>
  <c r="BF141" i="15"/>
  <c r="BJ141" i="15"/>
  <c r="AB141" i="15"/>
  <c r="AN141" i="15"/>
  <c r="BD141" i="15"/>
  <c r="O141" i="15"/>
  <c r="S141" i="15"/>
  <c r="W141" i="15"/>
  <c r="AA141" i="15"/>
  <c r="AE141" i="15"/>
  <c r="AI141" i="15"/>
  <c r="AM141" i="15"/>
  <c r="AQ141" i="15"/>
  <c r="AU141" i="15"/>
  <c r="AY141" i="15"/>
  <c r="BC141" i="15"/>
  <c r="BG141" i="15"/>
  <c r="P141" i="15"/>
  <c r="AF141" i="15"/>
  <c r="AR141" i="15"/>
  <c r="AZ141" i="15"/>
  <c r="R138" i="15"/>
  <c r="V138" i="15"/>
  <c r="Z138" i="15"/>
  <c r="AD138" i="15"/>
  <c r="AH138" i="15"/>
  <c r="AL138" i="15"/>
  <c r="AP138" i="15"/>
  <c r="AT138" i="15"/>
  <c r="AX138" i="15"/>
  <c r="BB138" i="15"/>
  <c r="BF138" i="15"/>
  <c r="BJ138" i="15"/>
  <c r="O138" i="15"/>
  <c r="S138" i="15"/>
  <c r="W138" i="15"/>
  <c r="AA138" i="15"/>
  <c r="AE138" i="15"/>
  <c r="AI138" i="15"/>
  <c r="AM138" i="15"/>
  <c r="AQ138" i="15"/>
  <c r="AU138" i="15"/>
  <c r="AY138" i="15"/>
  <c r="BC138" i="15"/>
  <c r="BG138" i="15"/>
  <c r="P138" i="15"/>
  <c r="T138" i="15"/>
  <c r="X138" i="15"/>
  <c r="AB138" i="15"/>
  <c r="AF138" i="15"/>
  <c r="AJ138" i="15"/>
  <c r="AN138" i="15"/>
  <c r="AR138" i="15"/>
  <c r="AV138" i="15"/>
  <c r="AZ138" i="15"/>
  <c r="BD138" i="15"/>
  <c r="BH138" i="15"/>
  <c r="AC138" i="15"/>
  <c r="AS138" i="15"/>
  <c r="BI138" i="15"/>
  <c r="Y138" i="15"/>
  <c r="Q138" i="15"/>
  <c r="AG138" i="15"/>
  <c r="AW138" i="15"/>
  <c r="BE138" i="15"/>
  <c r="U138" i="15"/>
  <c r="AK138" i="15"/>
  <c r="BA138" i="15"/>
  <c r="AO138" i="15"/>
  <c r="R133" i="15"/>
  <c r="V133" i="15"/>
  <c r="Z133" i="15"/>
  <c r="AD133" i="15"/>
  <c r="AH133" i="15"/>
  <c r="AL133" i="15"/>
  <c r="AP133" i="15"/>
  <c r="AT133" i="15"/>
  <c r="AX133" i="15"/>
  <c r="BB133" i="15"/>
  <c r="BF133" i="15"/>
  <c r="BJ133" i="15"/>
  <c r="O133" i="15"/>
  <c r="S133" i="15"/>
  <c r="W133" i="15"/>
  <c r="AA133" i="15"/>
  <c r="AE133" i="15"/>
  <c r="AI133" i="15"/>
  <c r="AM133" i="15"/>
  <c r="AQ133" i="15"/>
  <c r="AU133" i="15"/>
  <c r="AY133" i="15"/>
  <c r="BC133" i="15"/>
  <c r="BG133" i="15"/>
  <c r="P133" i="15"/>
  <c r="T133" i="15"/>
  <c r="X133" i="15"/>
  <c r="AB133" i="15"/>
  <c r="AF133" i="15"/>
  <c r="AJ133" i="15"/>
  <c r="AN133" i="15"/>
  <c r="AR133" i="15"/>
  <c r="AV133" i="15"/>
  <c r="AZ133" i="15"/>
  <c r="BD133" i="15"/>
  <c r="BH133" i="15"/>
  <c r="AC133" i="15"/>
  <c r="AS133" i="15"/>
  <c r="BI133" i="15"/>
  <c r="Y133" i="15"/>
  <c r="BE133" i="15"/>
  <c r="Q133" i="15"/>
  <c r="AG133" i="15"/>
  <c r="AW133" i="15"/>
  <c r="AO133" i="15"/>
  <c r="U133" i="15"/>
  <c r="AK133" i="15"/>
  <c r="BA133" i="15"/>
  <c r="O135" i="15"/>
  <c r="P135" i="15"/>
  <c r="Q135" i="15"/>
  <c r="R135" i="15"/>
  <c r="S135" i="15"/>
  <c r="T135" i="15"/>
  <c r="U135" i="15"/>
  <c r="V135" i="15"/>
  <c r="W135" i="15"/>
  <c r="X135" i="15"/>
  <c r="Y135" i="15"/>
  <c r="Z135" i="15"/>
  <c r="AA135" i="15"/>
  <c r="AB135" i="15"/>
  <c r="AC135" i="15"/>
  <c r="AD135" i="15"/>
  <c r="AE135" i="15"/>
  <c r="AF135" i="15"/>
  <c r="AG135" i="15"/>
  <c r="AH135" i="15"/>
  <c r="AI135" i="15"/>
  <c r="AJ135" i="15"/>
  <c r="AK135" i="15"/>
  <c r="AL135" i="15"/>
  <c r="AM135" i="15"/>
  <c r="AN135" i="15"/>
  <c r="AO135" i="15"/>
  <c r="AP135" i="15"/>
  <c r="AQ135" i="15"/>
  <c r="AR135" i="15"/>
  <c r="AS135" i="15"/>
  <c r="AT135" i="15"/>
  <c r="AU135" i="15"/>
  <c r="AV135" i="15"/>
  <c r="AW135" i="15"/>
  <c r="AX135" i="15"/>
  <c r="AY135" i="15"/>
  <c r="AZ135" i="15"/>
  <c r="BA135" i="15"/>
  <c r="BB135" i="15"/>
  <c r="BC135" i="15"/>
  <c r="BD135" i="15"/>
  <c r="BE135" i="15"/>
  <c r="BF135" i="15"/>
  <c r="BG135" i="15"/>
  <c r="BH135" i="15"/>
  <c r="BI135" i="15"/>
  <c r="BJ135" i="15"/>
  <c r="K51" i="6"/>
  <c r="L569" i="1"/>
  <c r="L514" i="1"/>
  <c r="J545" i="1"/>
  <c r="E31" i="25"/>
  <c r="G31" i="25" s="1"/>
  <c r="I552" i="1"/>
  <c r="E38" i="25"/>
  <c r="G38" i="25" s="1"/>
  <c r="J221" i="1"/>
  <c r="J257" i="1" s="1"/>
  <c r="D8" i="1"/>
  <c r="E56" i="25" s="1"/>
  <c r="G56" i="25" s="1"/>
  <c r="H221" i="1"/>
  <c r="K221" i="1"/>
  <c r="K257" i="1" s="1"/>
  <c r="G257" i="1"/>
  <c r="H51" i="6"/>
  <c r="E25" i="3"/>
  <c r="F25" i="3"/>
  <c r="C4" i="14"/>
  <c r="D4" i="14" s="1"/>
  <c r="E4" i="14" s="1"/>
  <c r="F4" i="14" s="1"/>
  <c r="G4" i="14" s="1"/>
  <c r="C15" i="14"/>
  <c r="C25" i="3"/>
  <c r="C51" i="6"/>
  <c r="E155" i="27"/>
  <c r="E157" i="27" s="1"/>
  <c r="L520" i="1"/>
  <c r="L379" i="1"/>
  <c r="I545" i="1"/>
  <c r="J266" i="1"/>
  <c r="I266" i="1"/>
  <c r="I302" i="1" s="1"/>
  <c r="H266" i="1"/>
  <c r="K266" i="1"/>
  <c r="L567" i="1"/>
  <c r="E122" i="27"/>
  <c r="E124" i="27" s="1"/>
  <c r="E89" i="27"/>
  <c r="E91" i="27" s="1"/>
  <c r="E56" i="27"/>
  <c r="E58" i="27" s="1"/>
  <c r="L559" i="1"/>
  <c r="E311" i="1"/>
  <c r="E302" i="1"/>
  <c r="G22" i="1"/>
  <c r="L564" i="1"/>
  <c r="L523" i="1"/>
  <c r="L476" i="1"/>
  <c r="L426" i="1"/>
  <c r="L517" i="1"/>
  <c r="L568" i="1"/>
  <c r="L473" i="1"/>
  <c r="C141" i="15"/>
  <c r="D141" i="15"/>
  <c r="E141" i="15"/>
  <c r="F141" i="15"/>
  <c r="G141" i="15"/>
  <c r="H141" i="15"/>
  <c r="I141" i="15"/>
  <c r="J141" i="15"/>
  <c r="K141" i="15"/>
  <c r="L141" i="15"/>
  <c r="M141" i="15"/>
  <c r="N141" i="15"/>
  <c r="C134" i="15"/>
  <c r="E134" i="15"/>
  <c r="D134" i="15"/>
  <c r="F134" i="15"/>
  <c r="G134" i="15"/>
  <c r="H134" i="15"/>
  <c r="I134" i="15"/>
  <c r="J134" i="15"/>
  <c r="K134" i="15"/>
  <c r="L134" i="15"/>
  <c r="M134" i="15"/>
  <c r="N134" i="15"/>
  <c r="C136" i="15"/>
  <c r="D136" i="15"/>
  <c r="E136" i="15"/>
  <c r="F136" i="15"/>
  <c r="G136" i="15"/>
  <c r="H136" i="15"/>
  <c r="I136" i="15"/>
  <c r="J136" i="15"/>
  <c r="K136" i="15"/>
  <c r="L136" i="15"/>
  <c r="M136" i="15"/>
  <c r="N136" i="15"/>
  <c r="L566" i="1"/>
  <c r="C133" i="15"/>
  <c r="D133" i="15"/>
  <c r="E133" i="15"/>
  <c r="F133" i="15"/>
  <c r="G133" i="15"/>
  <c r="H133" i="15"/>
  <c r="I133" i="15"/>
  <c r="J133" i="15"/>
  <c r="K133" i="15"/>
  <c r="L133" i="15"/>
  <c r="M133" i="15"/>
  <c r="N133" i="15"/>
  <c r="C139" i="15"/>
  <c r="D139" i="15"/>
  <c r="E139" i="15"/>
  <c r="F139" i="15"/>
  <c r="G139" i="15"/>
  <c r="H139" i="15"/>
  <c r="I139" i="15"/>
  <c r="J139" i="15"/>
  <c r="K139" i="15"/>
  <c r="L139" i="15"/>
  <c r="M139" i="15"/>
  <c r="N139" i="15"/>
  <c r="C132" i="15"/>
  <c r="D132" i="15"/>
  <c r="E132" i="15"/>
  <c r="F132" i="15"/>
  <c r="G132" i="15"/>
  <c r="H132" i="15"/>
  <c r="J132" i="15"/>
  <c r="I132" i="15"/>
  <c r="K132" i="15"/>
  <c r="L132" i="15"/>
  <c r="M132" i="15"/>
  <c r="N132" i="15"/>
  <c r="C135" i="15"/>
  <c r="D135" i="15"/>
  <c r="E135" i="15"/>
  <c r="F135" i="15"/>
  <c r="G135" i="15"/>
  <c r="H135" i="15"/>
  <c r="I135" i="15"/>
  <c r="J135" i="15"/>
  <c r="K135" i="15"/>
  <c r="L135" i="15"/>
  <c r="M135" i="15"/>
  <c r="N135" i="15"/>
  <c r="C137" i="15"/>
  <c r="D137" i="15"/>
  <c r="E137" i="15"/>
  <c r="F137" i="15"/>
  <c r="G137" i="15"/>
  <c r="H137" i="15"/>
  <c r="I137" i="15"/>
  <c r="J137" i="15"/>
  <c r="K137" i="15"/>
  <c r="L137" i="15"/>
  <c r="M137" i="15"/>
  <c r="N137" i="15"/>
  <c r="C140" i="15"/>
  <c r="D140" i="15"/>
  <c r="E140" i="15"/>
  <c r="F140" i="15"/>
  <c r="G140" i="15"/>
  <c r="H140" i="15"/>
  <c r="I140" i="15"/>
  <c r="J140" i="15"/>
  <c r="K140" i="15"/>
  <c r="L140" i="15"/>
  <c r="M140" i="15"/>
  <c r="N140" i="15"/>
  <c r="C138" i="15"/>
  <c r="D138" i="15"/>
  <c r="E138" i="15"/>
  <c r="F138" i="15"/>
  <c r="G138" i="15"/>
  <c r="H138" i="15"/>
  <c r="I138" i="15"/>
  <c r="J138" i="15"/>
  <c r="K138" i="15"/>
  <c r="L138" i="15"/>
  <c r="M138" i="15"/>
  <c r="N138" i="15"/>
  <c r="L319" i="1"/>
  <c r="L335" i="1"/>
  <c r="L471" i="1"/>
  <c r="L177" i="1"/>
  <c r="L472" i="1"/>
  <c r="L515" i="1"/>
  <c r="L470" i="1"/>
  <c r="L429" i="1"/>
  <c r="L424" i="1"/>
  <c r="L436" i="1"/>
  <c r="N436" i="1" s="1"/>
  <c r="B116" i="15"/>
  <c r="B131" i="15" s="1"/>
  <c r="L144" i="15"/>
  <c r="M145" i="15" s="1"/>
  <c r="G144" i="15"/>
  <c r="H145" i="15" s="1"/>
  <c r="C144" i="15"/>
  <c r="D145" i="15" s="1"/>
  <c r="J144" i="15"/>
  <c r="K145" i="15" s="1"/>
  <c r="K144" i="15"/>
  <c r="L145" i="15" s="1"/>
  <c r="E144" i="15"/>
  <c r="F145" i="15" s="1"/>
  <c r="N144" i="15"/>
  <c r="O145" i="15" s="1"/>
  <c r="I144" i="15"/>
  <c r="J145" i="15" s="1"/>
  <c r="D144" i="15"/>
  <c r="H144" i="15"/>
  <c r="I145" i="15" s="1"/>
  <c r="F144" i="15"/>
  <c r="G145" i="15" s="1"/>
  <c r="L522" i="1"/>
  <c r="L560" i="1"/>
  <c r="I25" i="3"/>
  <c r="N25" i="3"/>
  <c r="L51" i="6"/>
  <c r="M25" i="3"/>
  <c r="O46" i="13"/>
  <c r="J25" i="3"/>
  <c r="G51" i="6"/>
  <c r="C30" i="7"/>
  <c r="N19" i="6"/>
  <c r="D15" i="14"/>
  <c r="E15" i="14" s="1"/>
  <c r="F15" i="14" s="1"/>
  <c r="G15" i="14" s="1"/>
  <c r="N39" i="6"/>
  <c r="N6" i="8" s="1"/>
  <c r="L382" i="1"/>
  <c r="F39" i="6"/>
  <c r="F6" i="8" s="1"/>
  <c r="G25" i="14"/>
  <c r="G15" i="4" s="1"/>
  <c r="L133" i="1"/>
  <c r="L234" i="1"/>
  <c r="N234" i="1" s="1"/>
  <c r="H275" i="1"/>
  <c r="K6" i="2"/>
  <c r="L428" i="1"/>
  <c r="L183" i="1"/>
  <c r="N183" i="1" s="1"/>
  <c r="L207" i="1"/>
  <c r="N207" i="1" s="1"/>
  <c r="L132" i="1"/>
  <c r="L208" i="1"/>
  <c r="N208" i="1" s="1"/>
  <c r="L41" i="1"/>
  <c r="L190" i="1"/>
  <c r="N190" i="1" s="1"/>
  <c r="L45" i="1"/>
  <c r="L240" i="1"/>
  <c r="N240" i="1" s="1"/>
  <c r="L282" i="1"/>
  <c r="N282" i="1" s="1"/>
  <c r="L371" i="1"/>
  <c r="K275" i="1"/>
  <c r="J275" i="1"/>
  <c r="L543" i="1"/>
  <c r="F277" i="1"/>
  <c r="G276" i="1"/>
  <c r="L276" i="1" s="1"/>
  <c r="N276" i="1" s="1"/>
  <c r="L363" i="1"/>
  <c r="L542" i="1"/>
  <c r="L318" i="1"/>
  <c r="H545" i="1"/>
  <c r="L227" i="1"/>
  <c r="L242" i="1"/>
  <c r="N242" i="1" s="1"/>
  <c r="L220" i="1"/>
  <c r="L176" i="1"/>
  <c r="L314" i="1"/>
  <c r="L406" i="1"/>
  <c r="L87" i="1"/>
  <c r="L326" i="1"/>
  <c r="L297" i="1"/>
  <c r="N297" i="1" s="1"/>
  <c r="L111" i="1"/>
  <c r="N111" i="1" s="1"/>
  <c r="L256" i="1"/>
  <c r="N256" i="1" s="1"/>
  <c r="L402" i="1"/>
  <c r="L416" i="1"/>
  <c r="L452" i="1"/>
  <c r="L454" i="1"/>
  <c r="L540" i="1"/>
  <c r="L462" i="1"/>
  <c r="L447" i="1"/>
  <c r="L537" i="1"/>
  <c r="L506" i="1"/>
  <c r="L551" i="1"/>
  <c r="K545" i="1"/>
  <c r="L498" i="1"/>
  <c r="L492" i="1"/>
  <c r="H552" i="1"/>
  <c r="J552" i="1"/>
  <c r="K552" i="1"/>
  <c r="F554" i="1"/>
  <c r="G553" i="1"/>
  <c r="E39" i="25" s="1"/>
  <c r="G39" i="25" s="1"/>
  <c r="F547" i="1"/>
  <c r="G546" i="1"/>
  <c r="L550" i="1"/>
  <c r="L493" i="1"/>
  <c r="L499" i="1"/>
  <c r="L507" i="1"/>
  <c r="L460" i="1"/>
  <c r="L449" i="1"/>
  <c r="L408" i="1"/>
  <c r="L405" i="1"/>
  <c r="L403" i="1"/>
  <c r="L407" i="1"/>
  <c r="L500" i="1"/>
  <c r="L496" i="1"/>
  <c r="L490" i="1"/>
  <c r="L448" i="1"/>
  <c r="L465" i="1"/>
  <c r="N465" i="1" s="1"/>
  <c r="N456" i="1"/>
  <c r="L409" i="1"/>
  <c r="L404" i="1"/>
  <c r="L359" i="1"/>
  <c r="L317" i="1"/>
  <c r="L273" i="1"/>
  <c r="L272" i="1"/>
  <c r="L223" i="1"/>
  <c r="L222" i="1"/>
  <c r="L178" i="1"/>
  <c r="L88" i="1"/>
  <c r="L497" i="1"/>
  <c r="L458" i="1"/>
  <c r="N458" i="1" s="1"/>
  <c r="L466" i="1"/>
  <c r="N466" i="1" s="1"/>
  <c r="L519" i="1"/>
  <c r="L526" i="1"/>
  <c r="N526" i="1" s="1"/>
  <c r="L288" i="1"/>
  <c r="N288" i="1" s="1"/>
  <c r="L469" i="1"/>
  <c r="L502" i="1"/>
  <c r="N502" i="1" s="1"/>
  <c r="L385" i="1"/>
  <c r="N385" i="1" s="1"/>
  <c r="L571" i="1"/>
  <c r="N571" i="1" s="1"/>
  <c r="L345" i="1"/>
  <c r="N345" i="1" s="1"/>
  <c r="L459" i="1"/>
  <c r="N459" i="1" s="1"/>
  <c r="L541" i="1"/>
  <c r="L114" i="1"/>
  <c r="N114" i="1" s="1"/>
  <c r="L362" i="1"/>
  <c r="L431" i="1"/>
  <c r="N431" i="1" s="1"/>
  <c r="L103" i="1"/>
  <c r="N103" i="1" s="1"/>
  <c r="L139" i="1"/>
  <c r="N139" i="1" s="1"/>
  <c r="L316" i="1"/>
  <c r="L412" i="1"/>
  <c r="N412" i="1" s="1"/>
  <c r="L85" i="1"/>
  <c r="L450" i="1"/>
  <c r="L174" i="1"/>
  <c r="L399" i="1"/>
  <c r="L501" i="1"/>
  <c r="L561" i="1"/>
  <c r="L329" i="1"/>
  <c r="N329" i="1" s="1"/>
  <c r="L538" i="1"/>
  <c r="L423" i="1"/>
  <c r="N423" i="1" s="1"/>
  <c r="L430" i="1"/>
  <c r="L243" i="1"/>
  <c r="N243" i="1" s="1"/>
  <c r="L270" i="1"/>
  <c r="L100" i="1"/>
  <c r="N100" i="1" s="1"/>
  <c r="L387" i="1"/>
  <c r="N387" i="1" s="1"/>
  <c r="L474" i="1"/>
  <c r="L94" i="1"/>
  <c r="N94" i="1" s="1"/>
  <c r="L194" i="1"/>
  <c r="N194" i="1" s="1"/>
  <c r="L455" i="1"/>
  <c r="L489" i="1"/>
  <c r="L516" i="1"/>
  <c r="L231" i="1"/>
  <c r="N231" i="1" s="1"/>
  <c r="L86" i="1"/>
  <c r="L42" i="1"/>
  <c r="L312" i="1"/>
  <c r="L372" i="1"/>
  <c r="L389" i="1"/>
  <c r="N389" i="1" s="1"/>
  <c r="L381" i="1"/>
  <c r="L360" i="1"/>
  <c r="L369" i="1"/>
  <c r="N369" i="1" s="1"/>
  <c r="L328" i="1"/>
  <c r="N328" i="1" s="1"/>
  <c r="L325" i="1"/>
  <c r="L308" i="1"/>
  <c r="L296" i="1"/>
  <c r="N296" i="1" s="1"/>
  <c r="L289" i="1"/>
  <c r="L263" i="1"/>
  <c r="L268" i="1"/>
  <c r="L226" i="1"/>
  <c r="L225" i="1"/>
  <c r="J212" i="1"/>
  <c r="L180" i="1"/>
  <c r="L200" i="1"/>
  <c r="N200" i="1" s="1"/>
  <c r="L134" i="1"/>
  <c r="L155" i="1"/>
  <c r="N155" i="1" s="1"/>
  <c r="L143" i="1"/>
  <c r="N143" i="1" s="1"/>
  <c r="L140" i="1"/>
  <c r="N140" i="1" s="1"/>
  <c r="L159" i="1"/>
  <c r="N159" i="1" s="1"/>
  <c r="L151" i="1"/>
  <c r="N151" i="1" s="1"/>
  <c r="J135" i="1"/>
  <c r="J167" i="1" s="1"/>
  <c r="K135" i="1"/>
  <c r="K167" i="1" s="1"/>
  <c r="L110" i="1"/>
  <c r="N110" i="1" s="1"/>
  <c r="L106" i="1"/>
  <c r="N106" i="1" s="1"/>
  <c r="L89" i="1"/>
  <c r="L105" i="1"/>
  <c r="N105" i="1" s="1"/>
  <c r="L90" i="1"/>
  <c r="G77" i="1"/>
  <c r="J44" i="1"/>
  <c r="J77" i="1" s="1"/>
  <c r="K44" i="1"/>
  <c r="K77" i="1" s="1"/>
  <c r="L69" i="1"/>
  <c r="N69" i="1" s="1"/>
  <c r="L72" i="1"/>
  <c r="N72" i="1" s="1"/>
  <c r="L62" i="1"/>
  <c r="N62" i="1" s="1"/>
  <c r="L57" i="1"/>
  <c r="N57" i="1" s="1"/>
  <c r="L60" i="1"/>
  <c r="N60" i="1" s="1"/>
  <c r="L59" i="1"/>
  <c r="N59" i="1" s="1"/>
  <c r="L179" i="1"/>
  <c r="L210" i="1"/>
  <c r="N210" i="1" s="1"/>
  <c r="L228" i="1"/>
  <c r="N228" i="1" s="1"/>
  <c r="L254" i="1"/>
  <c r="N254" i="1" s="1"/>
  <c r="L310" i="1"/>
  <c r="L116" i="1"/>
  <c r="N116" i="1" s="1"/>
  <c r="L249" i="1"/>
  <c r="N249" i="1" s="1"/>
  <c r="L534" i="1"/>
  <c r="L245" i="1"/>
  <c r="N245" i="1" s="1"/>
  <c r="L255" i="1"/>
  <c r="N255" i="1" s="1"/>
  <c r="L357" i="1"/>
  <c r="L539" i="1"/>
  <c r="L287" i="1"/>
  <c r="N287" i="1" s="1"/>
  <c r="L315" i="1"/>
  <c r="L367" i="1"/>
  <c r="N367" i="1" s="1"/>
  <c r="L299" i="1"/>
  <c r="N299" i="1" s="1"/>
  <c r="L410" i="1"/>
  <c r="L511" i="1"/>
  <c r="N511" i="1" s="1"/>
  <c r="L366" i="1"/>
  <c r="L61" i="1"/>
  <c r="N61" i="1" s="1"/>
  <c r="L380" i="1"/>
  <c r="L131" i="1"/>
  <c r="L324" i="1"/>
  <c r="N324" i="1" s="1"/>
  <c r="K122" i="1"/>
  <c r="L250" i="1"/>
  <c r="N250" i="1" s="1"/>
  <c r="L218" i="1"/>
  <c r="C50" i="7"/>
  <c r="C51" i="7" s="1"/>
  <c r="C7" i="9" s="1"/>
  <c r="J39" i="6"/>
  <c r="J6" i="8" s="1"/>
  <c r="L40" i="1"/>
  <c r="L109" i="1"/>
  <c r="N109" i="1" s="1"/>
  <c r="L160" i="1"/>
  <c r="N160" i="1" s="1"/>
  <c r="L251" i="1"/>
  <c r="N251" i="1" s="1"/>
  <c r="L52" i="1"/>
  <c r="N52" i="1" s="1"/>
  <c r="L119" i="1"/>
  <c r="N119" i="1" s="1"/>
  <c r="L73" i="1"/>
  <c r="N73" i="1" s="1"/>
  <c r="L253" i="1"/>
  <c r="N253" i="1" s="1"/>
  <c r="L229" i="1"/>
  <c r="N229" i="1" s="1"/>
  <c r="L341" i="1"/>
  <c r="N341" i="1" s="1"/>
  <c r="L562" i="1"/>
  <c r="L117" i="1"/>
  <c r="N117" i="1" s="1"/>
  <c r="L331" i="1"/>
  <c r="N331" i="1" s="1"/>
  <c r="L283" i="1"/>
  <c r="N283" i="1" s="1"/>
  <c r="L361" i="1"/>
  <c r="L570" i="1"/>
  <c r="L67" i="1"/>
  <c r="N67" i="1" s="1"/>
  <c r="L104" i="1"/>
  <c r="N104" i="1" s="1"/>
  <c r="L95" i="1"/>
  <c r="N95" i="1" s="1"/>
  <c r="L154" i="1"/>
  <c r="N154" i="1" s="1"/>
  <c r="L38" i="1"/>
  <c r="J122" i="1"/>
  <c r="L130" i="1"/>
  <c r="L175" i="1"/>
  <c r="L129" i="1"/>
  <c r="K212" i="1"/>
  <c r="L354" i="1"/>
  <c r="L444" i="1"/>
  <c r="L355" i="1"/>
  <c r="K533" i="1"/>
  <c r="J533" i="1"/>
  <c r="L445" i="1"/>
  <c r="J353" i="1"/>
  <c r="K353" i="1"/>
  <c r="L265" i="1"/>
  <c r="L219" i="1"/>
  <c r="L84" i="1"/>
  <c r="L388" i="1"/>
  <c r="N388" i="1" s="1"/>
  <c r="L230" i="1"/>
  <c r="N230" i="1" s="1"/>
  <c r="L269" i="1"/>
  <c r="L248" i="1"/>
  <c r="N248" i="1" s="1"/>
  <c r="L320" i="1"/>
  <c r="L384" i="1"/>
  <c r="N384" i="1" s="1"/>
  <c r="L370" i="1"/>
  <c r="L510" i="1"/>
  <c r="N510" i="1" s="1"/>
  <c r="L96" i="1"/>
  <c r="N96" i="1" s="1"/>
  <c r="L205" i="1"/>
  <c r="N205" i="1" s="1"/>
  <c r="L196" i="1"/>
  <c r="N196" i="1" s="1"/>
  <c r="L274" i="1"/>
  <c r="L518" i="1"/>
  <c r="L340" i="1"/>
  <c r="N340" i="1" s="1"/>
  <c r="L70" i="1"/>
  <c r="N70" i="1" s="1"/>
  <c r="L112" i="1"/>
  <c r="N112" i="1" s="1"/>
  <c r="L137" i="1"/>
  <c r="N137" i="1" s="1"/>
  <c r="L321" i="1"/>
  <c r="L188" i="1"/>
  <c r="N188" i="1" s="1"/>
  <c r="L290" i="1"/>
  <c r="N290" i="1" s="1"/>
  <c r="L152" i="1"/>
  <c r="N152" i="1" s="1"/>
  <c r="L144" i="1"/>
  <c r="N144" i="1" s="1"/>
  <c r="L209" i="1"/>
  <c r="N209" i="1" s="1"/>
  <c r="L313" i="1"/>
  <c r="L68" i="1"/>
  <c r="N68" i="1" s="1"/>
  <c r="L327" i="1"/>
  <c r="L204" i="1"/>
  <c r="N204" i="1" s="1"/>
  <c r="L422" i="1"/>
  <c r="N422" i="1" s="1"/>
  <c r="L495" i="1"/>
  <c r="L365" i="1"/>
  <c r="L415" i="1"/>
  <c r="L107" i="1"/>
  <c r="N107" i="1" s="1"/>
  <c r="L364" i="1"/>
  <c r="L142" i="1"/>
  <c r="N142" i="1" s="1"/>
  <c r="L419" i="1"/>
  <c r="N419" i="1" s="1"/>
  <c r="L309" i="1"/>
  <c r="L544" i="1"/>
  <c r="D39" i="6"/>
  <c r="D6" i="8" s="1"/>
  <c r="L246" i="1"/>
  <c r="N246" i="1" s="1"/>
  <c r="L71" i="1"/>
  <c r="N71" i="1" s="1"/>
  <c r="L232" i="1"/>
  <c r="N232" i="1" s="1"/>
  <c r="L252" i="1"/>
  <c r="N252" i="1" s="1"/>
  <c r="L535" i="1"/>
  <c r="L565" i="1"/>
  <c r="L467" i="1"/>
  <c r="N467" i="1" s="1"/>
  <c r="L193" i="1"/>
  <c r="N193" i="1" s="1"/>
  <c r="L99" i="1"/>
  <c r="N99" i="1" s="1"/>
  <c r="L120" i="1"/>
  <c r="N120" i="1" s="1"/>
  <c r="L339" i="1"/>
  <c r="N339" i="1" s="1"/>
  <c r="L494" i="1"/>
  <c r="K39" i="6"/>
  <c r="K6" i="8" s="1"/>
  <c r="L411" i="1"/>
  <c r="L417" i="1"/>
  <c r="C56" i="7"/>
  <c r="L138" i="1"/>
  <c r="N138" i="1" s="1"/>
  <c r="I122" i="1"/>
  <c r="L189" i="1"/>
  <c r="N189" i="1" s="1"/>
  <c r="L239" i="1"/>
  <c r="N239" i="1" s="1"/>
  <c r="L186" i="1"/>
  <c r="N186" i="1" s="1"/>
  <c r="L332" i="1"/>
  <c r="N332" i="1" s="1"/>
  <c r="L386" i="1"/>
  <c r="N386" i="1" s="1"/>
  <c r="L195" i="1"/>
  <c r="N195" i="1" s="1"/>
  <c r="L358" i="1"/>
  <c r="L267" i="1"/>
  <c r="L264" i="1"/>
  <c r="L39" i="1"/>
  <c r="F18" i="14"/>
  <c r="G2" i="14"/>
  <c r="D70" i="11"/>
  <c r="I212" i="1"/>
  <c r="E26" i="14"/>
  <c r="D16" i="4"/>
  <c r="E23" i="14"/>
  <c r="D13" i="4"/>
  <c r="D10" i="2"/>
  <c r="C21" i="2"/>
  <c r="I4" i="2"/>
  <c r="N19" i="1"/>
  <c r="H212" i="1"/>
  <c r="L173" i="1"/>
  <c r="H135" i="1"/>
  <c r="H167" i="1" s="1"/>
  <c r="I135" i="1"/>
  <c r="G167" i="1"/>
  <c r="L224" i="1"/>
  <c r="L337" i="1"/>
  <c r="N337" i="1" s="1"/>
  <c r="L433" i="1"/>
  <c r="N433" i="1" s="1"/>
  <c r="L505" i="1"/>
  <c r="L521" i="1"/>
  <c r="L503" i="1"/>
  <c r="N503" i="1" s="1"/>
  <c r="D9" i="4"/>
  <c r="E19" i="14"/>
  <c r="L488" i="1"/>
  <c r="L39" i="6"/>
  <c r="L6" i="8" s="1"/>
  <c r="E28" i="14"/>
  <c r="D18" i="4"/>
  <c r="D45" i="6"/>
  <c r="E42" i="6" s="1"/>
  <c r="E45" i="6" s="1"/>
  <c r="C12" i="6"/>
  <c r="M39" i="6"/>
  <c r="M6" i="8" s="1"/>
  <c r="D17" i="4"/>
  <c r="E27" i="14"/>
  <c r="E21" i="14"/>
  <c r="D11" i="4"/>
  <c r="D12" i="4"/>
  <c r="E22" i="14"/>
  <c r="L197" i="1"/>
  <c r="N197" i="1" s="1"/>
  <c r="H122" i="1"/>
  <c r="L83" i="1"/>
  <c r="L145" i="1"/>
  <c r="N145" i="1" s="1"/>
  <c r="L181" i="1"/>
  <c r="H244" i="1"/>
  <c r="I244" i="1"/>
  <c r="I257" i="1" s="1"/>
  <c r="H533" i="1"/>
  <c r="I533" i="1"/>
  <c r="L475" i="1"/>
  <c r="L425" i="1"/>
  <c r="L563" i="1"/>
  <c r="L373" i="1"/>
  <c r="N373" i="1" s="1"/>
  <c r="E10" i="8"/>
  <c r="E11" i="8" s="1"/>
  <c r="F43" i="6"/>
  <c r="D19" i="4"/>
  <c r="E29" i="14"/>
  <c r="D21" i="4"/>
  <c r="E30" i="14"/>
  <c r="L153" i="1"/>
  <c r="N153" i="1" s="1"/>
  <c r="L271" i="1"/>
  <c r="H44" i="1"/>
  <c r="H77" i="1" s="1"/>
  <c r="I44" i="1"/>
  <c r="I77" i="1" s="1"/>
  <c r="L398" i="1"/>
  <c r="L477" i="1"/>
  <c r="N477" i="1" s="1"/>
  <c r="L451" i="1"/>
  <c r="L443" i="1"/>
  <c r="L453" i="1"/>
  <c r="D14" i="4"/>
  <c r="E24" i="14"/>
  <c r="D21" i="6"/>
  <c r="D22" i="6" s="1"/>
  <c r="E48" i="6"/>
  <c r="E50" i="6" s="1"/>
  <c r="D62" i="7"/>
  <c r="D33" i="7" s="1"/>
  <c r="E39" i="6"/>
  <c r="E6" i="8" s="1"/>
  <c r="L43" i="1"/>
  <c r="L75" i="1"/>
  <c r="N75" i="1" s="1"/>
  <c r="L161" i="1"/>
  <c r="N161" i="1" s="1"/>
  <c r="L128" i="1"/>
  <c r="L400" i="1"/>
  <c r="L461" i="1"/>
  <c r="I353" i="1"/>
  <c r="H353" i="1"/>
  <c r="C36" i="16" l="1"/>
  <c r="C38" i="16" s="1"/>
  <c r="R71" i="27" s="1"/>
  <c r="AA32" i="19"/>
  <c r="AE32" i="19"/>
  <c r="AI32" i="19"/>
  <c r="AB32" i="19"/>
  <c r="AF32" i="19"/>
  <c r="AJ32" i="19"/>
  <c r="AC32" i="19"/>
  <c r="AG32" i="19"/>
  <c r="AK32" i="19"/>
  <c r="AD32" i="19"/>
  <c r="AH32" i="19"/>
  <c r="Z32" i="19"/>
  <c r="Y33" i="19"/>
  <c r="Y39" i="19" s="1"/>
  <c r="Y34" i="19"/>
  <c r="Y40" i="19" s="1"/>
  <c r="Y47" i="19" s="1"/>
  <c r="Y36" i="19"/>
  <c r="Y42" i="19" s="1"/>
  <c r="Y49" i="19" s="1"/>
  <c r="Y35" i="19"/>
  <c r="Y41" i="19" s="1"/>
  <c r="Y48" i="19" s="1"/>
  <c r="T33" i="19"/>
  <c r="T39" i="19" s="1"/>
  <c r="T35" i="19"/>
  <c r="T41" i="19" s="1"/>
  <c r="T48" i="19" s="1"/>
  <c r="T36" i="19"/>
  <c r="T42" i="19" s="1"/>
  <c r="T49" i="19" s="1"/>
  <c r="T34" i="19"/>
  <c r="T40" i="19" s="1"/>
  <c r="T47" i="19" s="1"/>
  <c r="O36" i="19"/>
  <c r="O42" i="19" s="1"/>
  <c r="O49" i="19" s="1"/>
  <c r="O35" i="19"/>
  <c r="O41" i="19" s="1"/>
  <c r="O48" i="19" s="1"/>
  <c r="O33" i="19"/>
  <c r="O39" i="19" s="1"/>
  <c r="O34" i="19"/>
  <c r="O40" i="19" s="1"/>
  <c r="O47" i="19" s="1"/>
  <c r="U33" i="19"/>
  <c r="U39" i="19" s="1"/>
  <c r="U36" i="19"/>
  <c r="U42" i="19" s="1"/>
  <c r="U49" i="19" s="1"/>
  <c r="U35" i="19"/>
  <c r="U41" i="19" s="1"/>
  <c r="U48" i="19" s="1"/>
  <c r="U34" i="19"/>
  <c r="U40" i="19" s="1"/>
  <c r="U47" i="19" s="1"/>
  <c r="P33" i="19"/>
  <c r="P39" i="19" s="1"/>
  <c r="P34" i="19"/>
  <c r="P40" i="19" s="1"/>
  <c r="P47" i="19" s="1"/>
  <c r="P36" i="19"/>
  <c r="P42" i="19" s="1"/>
  <c r="P49" i="19" s="1"/>
  <c r="P35" i="19"/>
  <c r="P41" i="19" s="1"/>
  <c r="P48" i="19" s="1"/>
  <c r="N36" i="19"/>
  <c r="N42" i="19" s="1"/>
  <c r="N49" i="19" s="1"/>
  <c r="N33" i="19"/>
  <c r="N39" i="19" s="1"/>
  <c r="N34" i="19"/>
  <c r="N40" i="19" s="1"/>
  <c r="N47" i="19" s="1"/>
  <c r="N35" i="19"/>
  <c r="N41" i="19" s="1"/>
  <c r="N48" i="19" s="1"/>
  <c r="Q33" i="19"/>
  <c r="Q39" i="19" s="1"/>
  <c r="Q35" i="19"/>
  <c r="Q41" i="19" s="1"/>
  <c r="Q48" i="19" s="1"/>
  <c r="Q36" i="19"/>
  <c r="Q42" i="19" s="1"/>
  <c r="Q49" i="19" s="1"/>
  <c r="Q34" i="19"/>
  <c r="Q40" i="19" s="1"/>
  <c r="Q47" i="19" s="1"/>
  <c r="W34" i="19"/>
  <c r="W40" i="19" s="1"/>
  <c r="W47" i="19" s="1"/>
  <c r="W35" i="19"/>
  <c r="W41" i="19" s="1"/>
  <c r="W48" i="19" s="1"/>
  <c r="W36" i="19"/>
  <c r="W42" i="19" s="1"/>
  <c r="W49" i="19" s="1"/>
  <c r="W33" i="19"/>
  <c r="W39" i="19" s="1"/>
  <c r="V36" i="19"/>
  <c r="V42" i="19" s="1"/>
  <c r="V49" i="19" s="1"/>
  <c r="V33" i="19"/>
  <c r="V39" i="19" s="1"/>
  <c r="V35" i="19"/>
  <c r="V41" i="19" s="1"/>
  <c r="V48" i="19" s="1"/>
  <c r="V34" i="19"/>
  <c r="V40" i="19" s="1"/>
  <c r="V47" i="19" s="1"/>
  <c r="X33" i="19"/>
  <c r="X39" i="19" s="1"/>
  <c r="X36" i="19"/>
  <c r="X42" i="19" s="1"/>
  <c r="X49" i="19" s="1"/>
  <c r="X35" i="19"/>
  <c r="X41" i="19" s="1"/>
  <c r="X48" i="19" s="1"/>
  <c r="X34" i="19"/>
  <c r="X40" i="19" s="1"/>
  <c r="X47" i="19" s="1"/>
  <c r="S33" i="19"/>
  <c r="S39" i="19" s="1"/>
  <c r="S34" i="19"/>
  <c r="S40" i="19" s="1"/>
  <c r="S47" i="19" s="1"/>
  <c r="S36" i="19"/>
  <c r="S42" i="19" s="1"/>
  <c r="S49" i="19" s="1"/>
  <c r="S35" i="19"/>
  <c r="S41" i="19" s="1"/>
  <c r="S48" i="19" s="1"/>
  <c r="R36" i="19"/>
  <c r="R42" i="19" s="1"/>
  <c r="R49" i="19" s="1"/>
  <c r="R35" i="19"/>
  <c r="R41" i="19" s="1"/>
  <c r="R48" i="19" s="1"/>
  <c r="R33" i="19"/>
  <c r="R39" i="19" s="1"/>
  <c r="R34" i="19"/>
  <c r="R40" i="19" s="1"/>
  <c r="R47" i="19" s="1"/>
  <c r="B72" i="29"/>
  <c r="D57" i="31"/>
  <c r="D58" i="31" s="1"/>
  <c r="C42" i="29"/>
  <c r="B37" i="31"/>
  <c r="C36" i="31"/>
  <c r="C63" i="7"/>
  <c r="K24" i="1"/>
  <c r="G468" i="1"/>
  <c r="L468" i="1" s="1"/>
  <c r="N468" i="1" s="1"/>
  <c r="H257" i="1"/>
  <c r="L221" i="1"/>
  <c r="D57" i="17"/>
  <c r="C40" i="22"/>
  <c r="C42" i="22" s="1"/>
  <c r="C54" i="22" s="1"/>
  <c r="C55" i="22" s="1"/>
  <c r="C56" i="22" s="1"/>
  <c r="D73" i="22"/>
  <c r="E73" i="22" s="1"/>
  <c r="F73" i="22" s="1"/>
  <c r="K302" i="1"/>
  <c r="D71" i="29"/>
  <c r="E71" i="29" s="1"/>
  <c r="BF145" i="15"/>
  <c r="BF149" i="15" s="1"/>
  <c r="BD145" i="15"/>
  <c r="BD149" i="15" s="1"/>
  <c r="X145" i="15"/>
  <c r="X149" i="15" s="1"/>
  <c r="AE145" i="15"/>
  <c r="AE149" i="15" s="1"/>
  <c r="AC145" i="15"/>
  <c r="AC149" i="15" s="1"/>
  <c r="BC145" i="15"/>
  <c r="BC149" i="15" s="1"/>
  <c r="AP145" i="15"/>
  <c r="AP149" i="15" s="1"/>
  <c r="Y145" i="15"/>
  <c r="Y149" i="15" s="1"/>
  <c r="AT145" i="15"/>
  <c r="AT149" i="15" s="1"/>
  <c r="AJ145" i="15"/>
  <c r="AJ149" i="15" s="1"/>
  <c r="S145" i="15"/>
  <c r="S149" i="15" s="1"/>
  <c r="BA145" i="15"/>
  <c r="BA149" i="15" s="1"/>
  <c r="AQ145" i="15"/>
  <c r="AQ149" i="15" s="1"/>
  <c r="T145" i="15"/>
  <c r="T149" i="15" s="1"/>
  <c r="AW145" i="15"/>
  <c r="AW149" i="15" s="1"/>
  <c r="AA145" i="15"/>
  <c r="AA149" i="15" s="1"/>
  <c r="AO145" i="15"/>
  <c r="AO149" i="15" s="1"/>
  <c r="AI145" i="15"/>
  <c r="AI149" i="15" s="1"/>
  <c r="R145" i="15"/>
  <c r="R149" i="15" s="1"/>
  <c r="AB145" i="15"/>
  <c r="AB149" i="15" s="1"/>
  <c r="AM145" i="15"/>
  <c r="AM149" i="15" s="1"/>
  <c r="Z145" i="15"/>
  <c r="Z149" i="15" s="1"/>
  <c r="AV145" i="15"/>
  <c r="AV149" i="15" s="1"/>
  <c r="AD145" i="15"/>
  <c r="AD149" i="15" s="1"/>
  <c r="P145" i="15"/>
  <c r="P149" i="15" s="1"/>
  <c r="O149" i="15"/>
  <c r="BB145" i="15"/>
  <c r="BB149" i="15" s="1"/>
  <c r="AK145" i="15"/>
  <c r="AK149" i="15" s="1"/>
  <c r="AS145" i="15"/>
  <c r="AS149" i="15" s="1"/>
  <c r="AX145" i="15"/>
  <c r="AX149" i="15" s="1"/>
  <c r="AG145" i="15"/>
  <c r="AG149" i="15" s="1"/>
  <c r="AF145" i="15"/>
  <c r="AF149" i="15" s="1"/>
  <c r="BJ145" i="15"/>
  <c r="BJ149" i="15" s="1"/>
  <c r="V145" i="15"/>
  <c r="V149" i="15" s="1"/>
  <c r="AN145" i="15"/>
  <c r="AN149" i="15" s="1"/>
  <c r="AR145" i="15"/>
  <c r="AR149" i="15" s="1"/>
  <c r="AZ145" i="15"/>
  <c r="AZ149" i="15" s="1"/>
  <c r="W145" i="15"/>
  <c r="W149" i="15" s="1"/>
  <c r="BE145" i="15"/>
  <c r="BE149" i="15" s="1"/>
  <c r="BG145" i="15"/>
  <c r="BG149" i="15" s="1"/>
  <c r="BI145" i="15"/>
  <c r="BI149" i="15" s="1"/>
  <c r="AY145" i="15"/>
  <c r="AY149" i="15" s="1"/>
  <c r="AL145" i="15"/>
  <c r="AL149" i="15" s="1"/>
  <c r="U145" i="15"/>
  <c r="U149" i="15" s="1"/>
  <c r="BH145" i="15"/>
  <c r="BH149" i="15" s="1"/>
  <c r="AU145" i="15"/>
  <c r="AU149" i="15" s="1"/>
  <c r="AH145" i="15"/>
  <c r="AH149" i="15" s="1"/>
  <c r="Q145" i="15"/>
  <c r="Q149" i="15" s="1"/>
  <c r="O131" i="15"/>
  <c r="P131" i="15"/>
  <c r="Q131" i="15"/>
  <c r="R131" i="15"/>
  <c r="S131" i="15"/>
  <c r="T131" i="15"/>
  <c r="U131" i="15"/>
  <c r="V131" i="15"/>
  <c r="W131" i="15"/>
  <c r="X131" i="15"/>
  <c r="Y131" i="15"/>
  <c r="Z131" i="15"/>
  <c r="AA131" i="15"/>
  <c r="AB131" i="15"/>
  <c r="AC131" i="15"/>
  <c r="AD131" i="15"/>
  <c r="AE131" i="15"/>
  <c r="AF131" i="15"/>
  <c r="AG131" i="15"/>
  <c r="AH131" i="15"/>
  <c r="AI131" i="15"/>
  <c r="AJ131" i="15"/>
  <c r="AK131" i="15"/>
  <c r="AL131" i="15"/>
  <c r="AM131" i="15"/>
  <c r="AN131" i="15"/>
  <c r="AO131" i="15"/>
  <c r="AP131" i="15"/>
  <c r="AQ131" i="15"/>
  <c r="AR131" i="15"/>
  <c r="AS131" i="15"/>
  <c r="AT131" i="15"/>
  <c r="AU131" i="15"/>
  <c r="AV131" i="15"/>
  <c r="AW131" i="15"/>
  <c r="AX131" i="15"/>
  <c r="AY131" i="15"/>
  <c r="AZ131" i="15"/>
  <c r="BA131" i="15"/>
  <c r="BB131" i="15"/>
  <c r="BC131" i="15"/>
  <c r="BD131" i="15"/>
  <c r="BE131" i="15"/>
  <c r="BF131" i="15"/>
  <c r="BG131" i="15"/>
  <c r="BH131" i="15"/>
  <c r="BI131" i="15"/>
  <c r="BJ131" i="15"/>
  <c r="E145" i="15"/>
  <c r="E149" i="15" s="1"/>
  <c r="D149" i="15"/>
  <c r="D150" i="15" s="1"/>
  <c r="D78" i="11" s="1"/>
  <c r="L553" i="1"/>
  <c r="N553" i="1" s="1"/>
  <c r="D12" i="1"/>
  <c r="E60" i="25" s="1"/>
  <c r="G60" i="25" s="1"/>
  <c r="E32" i="25"/>
  <c r="G32" i="25" s="1"/>
  <c r="B58" i="29"/>
  <c r="B45" i="29"/>
  <c r="B49" i="29" s="1"/>
  <c r="B53" i="29" s="1"/>
  <c r="B43" i="29"/>
  <c r="B47" i="29" s="1"/>
  <c r="B44" i="29"/>
  <c r="B48" i="29" s="1"/>
  <c r="B52" i="29" s="1"/>
  <c r="D33" i="14"/>
  <c r="D63" i="7" s="1"/>
  <c r="B74" i="22"/>
  <c r="J302" i="1"/>
  <c r="B40" i="22"/>
  <c r="B42" i="22" s="1"/>
  <c r="B54" i="22" s="1"/>
  <c r="B55" i="22" s="1"/>
  <c r="B56" i="22" s="1"/>
  <c r="B57" i="22" s="1"/>
  <c r="C74" i="22"/>
  <c r="H302" i="1"/>
  <c r="C3" i="3"/>
  <c r="E182" i="27"/>
  <c r="B60" i="22"/>
  <c r="B61" i="22" s="1"/>
  <c r="L266" i="1"/>
  <c r="L545" i="1"/>
  <c r="C38" i="17"/>
  <c r="B58" i="17"/>
  <c r="B38" i="17"/>
  <c r="C57" i="18"/>
  <c r="C39" i="18" s="1"/>
  <c r="B59" i="16"/>
  <c r="B38" i="16"/>
  <c r="Q71" i="27" s="1"/>
  <c r="C43" i="22"/>
  <c r="C44" i="22" s="1"/>
  <c r="B34" i="18"/>
  <c r="B35" i="18" s="1"/>
  <c r="B58" i="18"/>
  <c r="F149" i="15"/>
  <c r="H38" i="27"/>
  <c r="H40" i="27" s="1"/>
  <c r="I149" i="15"/>
  <c r="K38" i="27"/>
  <c r="K40" i="27" s="1"/>
  <c r="J149" i="15"/>
  <c r="L38" i="27"/>
  <c r="L40" i="27" s="1"/>
  <c r="L149" i="15"/>
  <c r="N38" i="27"/>
  <c r="N40" i="27" s="1"/>
  <c r="H149" i="15"/>
  <c r="J38" i="27"/>
  <c r="J40" i="27" s="1"/>
  <c r="N149" i="15"/>
  <c r="P38" i="27"/>
  <c r="C149" i="15"/>
  <c r="E38" i="27"/>
  <c r="E40" i="27" s="1"/>
  <c r="F38" i="27"/>
  <c r="F40" i="27" s="1"/>
  <c r="K149" i="15"/>
  <c r="M38" i="27"/>
  <c r="M40" i="27" s="1"/>
  <c r="M149" i="15"/>
  <c r="O38" i="27"/>
  <c r="O40" i="27" s="1"/>
  <c r="G38" i="27"/>
  <c r="G40" i="27" s="1"/>
  <c r="G149" i="15"/>
  <c r="I38" i="27"/>
  <c r="I40" i="27" s="1"/>
  <c r="E356" i="1"/>
  <c r="E401" i="1" s="1"/>
  <c r="E446" i="1" s="1"/>
  <c r="E491" i="1" s="1"/>
  <c r="E536" i="1" s="1"/>
  <c r="E347" i="1"/>
  <c r="H22" i="1"/>
  <c r="H25" i="1" s="1"/>
  <c r="G311" i="1"/>
  <c r="H28" i="1" s="1"/>
  <c r="G25" i="1"/>
  <c r="D131" i="15"/>
  <c r="C131" i="15"/>
  <c r="E131" i="15"/>
  <c r="F131" i="15"/>
  <c r="G131" i="15"/>
  <c r="H131" i="15"/>
  <c r="I131" i="15"/>
  <c r="J131" i="15"/>
  <c r="K131" i="15"/>
  <c r="L131" i="15"/>
  <c r="M131" i="15"/>
  <c r="N131" i="15"/>
  <c r="O25" i="3"/>
  <c r="D30" i="7"/>
  <c r="E30" i="7" s="1"/>
  <c r="F30" i="7" s="1"/>
  <c r="G30" i="7" s="1"/>
  <c r="C31" i="7"/>
  <c r="C34" i="7" s="1"/>
  <c r="L6" i="2"/>
  <c r="L552" i="1"/>
  <c r="F278" i="1"/>
  <c r="G277" i="1"/>
  <c r="L277" i="1" s="1"/>
  <c r="L275" i="1"/>
  <c r="L546" i="1"/>
  <c r="N546" i="1" s="1"/>
  <c r="F548" i="1"/>
  <c r="G547" i="1"/>
  <c r="E33" i="25" s="1"/>
  <c r="G33" i="25" s="1"/>
  <c r="F555" i="1"/>
  <c r="G554" i="1"/>
  <c r="N501" i="1"/>
  <c r="N411" i="1"/>
  <c r="J30" i="1"/>
  <c r="N366" i="1"/>
  <c r="I30" i="1"/>
  <c r="N321" i="1"/>
  <c r="H30" i="1"/>
  <c r="O6" i="8"/>
  <c r="L135" i="1"/>
  <c r="E70" i="11"/>
  <c r="I167" i="1"/>
  <c r="F28" i="14"/>
  <c r="E18" i="4"/>
  <c r="F19" i="14"/>
  <c r="E9" i="4"/>
  <c r="E10" i="2"/>
  <c r="D21" i="2"/>
  <c r="G43" i="6"/>
  <c r="F10" i="8"/>
  <c r="F11" i="8" s="1"/>
  <c r="L244" i="1"/>
  <c r="E71" i="11"/>
  <c r="F21" i="14"/>
  <c r="E11" i="4"/>
  <c r="E60" i="7"/>
  <c r="E14" i="4"/>
  <c r="F24" i="14"/>
  <c r="E17" i="4"/>
  <c r="F27" i="14"/>
  <c r="L353" i="1"/>
  <c r="L533" i="1"/>
  <c r="L212" i="1"/>
  <c r="F23" i="14"/>
  <c r="E13" i="4"/>
  <c r="F48" i="6"/>
  <c r="F50" i="6" s="1"/>
  <c r="E21" i="6"/>
  <c r="E22" i="6" s="1"/>
  <c r="L44" i="1"/>
  <c r="L122" i="1"/>
  <c r="G18" i="14"/>
  <c r="A1" i="14"/>
  <c r="E21" i="4"/>
  <c r="F30" i="14"/>
  <c r="F26" i="14"/>
  <c r="E16" i="4"/>
  <c r="E12" i="4"/>
  <c r="F22" i="14"/>
  <c r="D12" i="6"/>
  <c r="J4" i="2"/>
  <c r="I7" i="2"/>
  <c r="E62" i="25" s="1"/>
  <c r="E64" i="25" s="1"/>
  <c r="F29" i="14"/>
  <c r="E19" i="4"/>
  <c r="U46" i="19" l="1"/>
  <c r="U50" i="19" s="1"/>
  <c r="U43" i="19"/>
  <c r="Z33" i="19"/>
  <c r="Z39" i="19" s="1"/>
  <c r="Z36" i="19"/>
  <c r="Z42" i="19" s="1"/>
  <c r="Z49" i="19" s="1"/>
  <c r="Z35" i="19"/>
  <c r="Z41" i="19" s="1"/>
  <c r="Z48" i="19" s="1"/>
  <c r="Z34" i="19"/>
  <c r="Z40" i="19" s="1"/>
  <c r="Z47" i="19" s="1"/>
  <c r="AG33" i="19"/>
  <c r="AG39" i="19" s="1"/>
  <c r="AG35" i="19"/>
  <c r="AG41" i="19" s="1"/>
  <c r="AG48" i="19" s="1"/>
  <c r="AG34" i="19"/>
  <c r="AG40" i="19" s="1"/>
  <c r="AG47" i="19" s="1"/>
  <c r="AG36" i="19"/>
  <c r="AG42" i="19" s="1"/>
  <c r="AG49" i="19" s="1"/>
  <c r="AB35" i="19"/>
  <c r="AB41" i="19" s="1"/>
  <c r="AB48" i="19" s="1"/>
  <c r="AB36" i="19"/>
  <c r="AB42" i="19" s="1"/>
  <c r="AB49" i="19" s="1"/>
  <c r="AB33" i="19"/>
  <c r="AB39" i="19" s="1"/>
  <c r="AB34" i="19"/>
  <c r="AB40" i="19" s="1"/>
  <c r="AB47" i="19" s="1"/>
  <c r="S46" i="19"/>
  <c r="S50" i="19" s="1"/>
  <c r="S43" i="19"/>
  <c r="W46" i="19"/>
  <c r="W50" i="19" s="1"/>
  <c r="W43" i="19"/>
  <c r="N46" i="19"/>
  <c r="N50" i="19" s="1"/>
  <c r="N51" i="19" s="1"/>
  <c r="N43" i="19"/>
  <c r="AC33" i="19"/>
  <c r="AC39" i="19" s="1"/>
  <c r="AC34" i="19"/>
  <c r="AC40" i="19" s="1"/>
  <c r="AC47" i="19" s="1"/>
  <c r="AC35" i="19"/>
  <c r="AC41" i="19" s="1"/>
  <c r="AC48" i="19" s="1"/>
  <c r="AC36" i="19"/>
  <c r="AC42" i="19" s="1"/>
  <c r="AC49" i="19" s="1"/>
  <c r="R46" i="19"/>
  <c r="R50" i="19" s="1"/>
  <c r="R43" i="19"/>
  <c r="X46" i="19"/>
  <c r="X43" i="19"/>
  <c r="V43" i="19"/>
  <c r="V46" i="19"/>
  <c r="V50" i="19" s="1"/>
  <c r="T46" i="19"/>
  <c r="T50" i="19" s="1"/>
  <c r="T43" i="19"/>
  <c r="AD34" i="19"/>
  <c r="AD40" i="19" s="1"/>
  <c r="AD47" i="19" s="1"/>
  <c r="AD35" i="19"/>
  <c r="AD41" i="19" s="1"/>
  <c r="AD48" i="19" s="1"/>
  <c r="AD33" i="19"/>
  <c r="AD39" i="19" s="1"/>
  <c r="AD36" i="19"/>
  <c r="AD42" i="19" s="1"/>
  <c r="AD49" i="19" s="1"/>
  <c r="AJ35" i="19"/>
  <c r="AJ41" i="19" s="1"/>
  <c r="AJ48" i="19" s="1"/>
  <c r="AJ36" i="19"/>
  <c r="AJ42" i="19" s="1"/>
  <c r="AJ49" i="19" s="1"/>
  <c r="AJ34" i="19"/>
  <c r="AJ40" i="19" s="1"/>
  <c r="AJ47" i="19" s="1"/>
  <c r="AJ33" i="19"/>
  <c r="AJ39" i="19" s="1"/>
  <c r="AE33" i="19"/>
  <c r="AE39" i="19" s="1"/>
  <c r="AE34" i="19"/>
  <c r="AE40" i="19" s="1"/>
  <c r="AE47" i="19" s="1"/>
  <c r="AE36" i="19"/>
  <c r="AE42" i="19" s="1"/>
  <c r="AE49" i="19" s="1"/>
  <c r="AE35" i="19"/>
  <c r="AE41" i="19" s="1"/>
  <c r="AE48" i="19" s="1"/>
  <c r="AM32" i="19"/>
  <c r="AQ32" i="19"/>
  <c r="AU32" i="19"/>
  <c r="AN32" i="19"/>
  <c r="AR32" i="19"/>
  <c r="AV32" i="19"/>
  <c r="AO32" i="19"/>
  <c r="AS32" i="19"/>
  <c r="AW32" i="19"/>
  <c r="AP32" i="19"/>
  <c r="AT32" i="19"/>
  <c r="AL32" i="19"/>
  <c r="Q46" i="19"/>
  <c r="Q50" i="19" s="1"/>
  <c r="Q43" i="19"/>
  <c r="AH35" i="19"/>
  <c r="AH41" i="19" s="1"/>
  <c r="AH48" i="19" s="1"/>
  <c r="AH34" i="19"/>
  <c r="AH40" i="19" s="1"/>
  <c r="AH47" i="19" s="1"/>
  <c r="AH33" i="19"/>
  <c r="AH39" i="19" s="1"/>
  <c r="AH36" i="19"/>
  <c r="AH42" i="19" s="1"/>
  <c r="AH49" i="19" s="1"/>
  <c r="AI34" i="19"/>
  <c r="AI40" i="19" s="1"/>
  <c r="AI47" i="19" s="1"/>
  <c r="AI35" i="19"/>
  <c r="AI41" i="19" s="1"/>
  <c r="AI48" i="19" s="1"/>
  <c r="AI36" i="19"/>
  <c r="AI42" i="19" s="1"/>
  <c r="AI49" i="19" s="1"/>
  <c r="AI33" i="19"/>
  <c r="AI39" i="19" s="1"/>
  <c r="X50" i="19"/>
  <c r="P46" i="19"/>
  <c r="P50" i="19" s="1"/>
  <c r="P43" i="19"/>
  <c r="O46" i="19"/>
  <c r="O50" i="19" s="1"/>
  <c r="O43" i="19"/>
  <c r="Y46" i="19"/>
  <c r="Y50" i="19" s="1"/>
  <c r="Y43" i="19"/>
  <c r="AK33" i="19"/>
  <c r="AK39" i="19" s="1"/>
  <c r="AK36" i="19"/>
  <c r="AK42" i="19" s="1"/>
  <c r="AK49" i="19" s="1"/>
  <c r="AK35" i="19"/>
  <c r="AK41" i="19" s="1"/>
  <c r="AK48" i="19" s="1"/>
  <c r="AK34" i="19"/>
  <c r="AK40" i="19" s="1"/>
  <c r="AK47" i="19" s="1"/>
  <c r="AF35" i="19"/>
  <c r="AF41" i="19" s="1"/>
  <c r="AF48" i="19" s="1"/>
  <c r="AF34" i="19"/>
  <c r="AF40" i="19" s="1"/>
  <c r="AF47" i="19" s="1"/>
  <c r="AF36" i="19"/>
  <c r="AF42" i="19" s="1"/>
  <c r="AF49" i="19" s="1"/>
  <c r="AF33" i="19"/>
  <c r="AF39" i="19" s="1"/>
  <c r="AA36" i="19"/>
  <c r="AA42" i="19" s="1"/>
  <c r="AA49" i="19" s="1"/>
  <c r="AA35" i="19"/>
  <c r="AA41" i="19" s="1"/>
  <c r="AA48" i="19" s="1"/>
  <c r="AA34" i="19"/>
  <c r="AA40" i="19" s="1"/>
  <c r="AA47" i="19" s="1"/>
  <c r="AA33" i="19"/>
  <c r="AA39" i="19" s="1"/>
  <c r="D86" i="11"/>
  <c r="D4" i="3" s="1"/>
  <c r="D36" i="31"/>
  <c r="C37" i="31"/>
  <c r="B44" i="31"/>
  <c r="B41" i="31"/>
  <c r="B42" i="31"/>
  <c r="B40" i="31"/>
  <c r="B45" i="31"/>
  <c r="B43" i="31"/>
  <c r="E57" i="31"/>
  <c r="B41" i="22"/>
  <c r="B48" i="22" s="1"/>
  <c r="B49" i="22" s="1"/>
  <c r="B50" i="22" s="1"/>
  <c r="B51" i="22" s="1"/>
  <c r="D154" i="15"/>
  <c r="D155" i="15" s="1"/>
  <c r="D156" i="15" s="1"/>
  <c r="K30" i="1"/>
  <c r="M24" i="1"/>
  <c r="G513" i="1"/>
  <c r="L513" i="1" s="1"/>
  <c r="L24" i="1"/>
  <c r="C41" i="22"/>
  <c r="C48" i="22" s="1"/>
  <c r="C49" i="22" s="1"/>
  <c r="C50" i="22" s="1"/>
  <c r="F71" i="29"/>
  <c r="G71" i="29" s="1"/>
  <c r="AC154" i="15"/>
  <c r="AC155" i="15" s="1"/>
  <c r="AC156" i="15" s="1"/>
  <c r="AC150" i="15"/>
  <c r="AC78" i="11" s="1"/>
  <c r="AR154" i="15"/>
  <c r="AR155" i="15" s="1"/>
  <c r="AR156" i="15" s="1"/>
  <c r="AR150" i="15"/>
  <c r="AR78" i="11" s="1"/>
  <c r="AS154" i="15"/>
  <c r="AS155" i="15" s="1"/>
  <c r="AS156" i="15" s="1"/>
  <c r="AS150" i="15"/>
  <c r="AS78" i="11" s="1"/>
  <c r="AV154" i="15"/>
  <c r="AV155" i="15" s="1"/>
  <c r="AV156" i="15" s="1"/>
  <c r="AV150" i="15"/>
  <c r="AV78" i="11" s="1"/>
  <c r="AB154" i="15"/>
  <c r="AB155" i="15" s="1"/>
  <c r="AB156" i="15" s="1"/>
  <c r="AB150" i="15"/>
  <c r="AB78" i="11" s="1"/>
  <c r="BC154" i="15"/>
  <c r="BC155" i="15" s="1"/>
  <c r="BC156" i="15" s="1"/>
  <c r="BC150" i="15"/>
  <c r="BC78" i="11" s="1"/>
  <c r="Q154" i="15"/>
  <c r="Q155" i="15" s="1"/>
  <c r="Q156" i="15" s="1"/>
  <c r="Q150" i="15"/>
  <c r="Q78" i="11" s="1"/>
  <c r="BH154" i="15"/>
  <c r="BH155" i="15" s="1"/>
  <c r="BH156" i="15" s="1"/>
  <c r="BH150" i="15"/>
  <c r="BH78" i="11" s="1"/>
  <c r="AY154" i="15"/>
  <c r="AY155" i="15" s="1"/>
  <c r="AY156" i="15" s="1"/>
  <c r="AY150" i="15"/>
  <c r="AY78" i="11" s="1"/>
  <c r="BD154" i="15"/>
  <c r="BD155" i="15" s="1"/>
  <c r="BD156" i="15" s="1"/>
  <c r="BD150" i="15"/>
  <c r="BD78" i="11" s="1"/>
  <c r="AQ154" i="15"/>
  <c r="AQ155" i="15" s="1"/>
  <c r="AQ156" i="15" s="1"/>
  <c r="AQ150" i="15"/>
  <c r="AQ78" i="11" s="1"/>
  <c r="BJ154" i="15"/>
  <c r="BJ155" i="15" s="1"/>
  <c r="BJ156" i="15" s="1"/>
  <c r="BJ150" i="15"/>
  <c r="BJ78" i="11" s="1"/>
  <c r="AW154" i="15"/>
  <c r="AW155" i="15" s="1"/>
  <c r="AW156" i="15" s="1"/>
  <c r="AW150" i="15"/>
  <c r="AW78" i="11" s="1"/>
  <c r="AJ154" i="15"/>
  <c r="AJ155" i="15" s="1"/>
  <c r="AJ156" i="15" s="1"/>
  <c r="AJ150" i="15"/>
  <c r="AJ78" i="11" s="1"/>
  <c r="O154" i="15"/>
  <c r="O155" i="15" s="1"/>
  <c r="O156" i="15" s="1"/>
  <c r="O150" i="15"/>
  <c r="O78" i="11" s="1"/>
  <c r="AA154" i="15"/>
  <c r="AA155" i="15" s="1"/>
  <c r="AA156" i="15" s="1"/>
  <c r="AA150" i="15"/>
  <c r="AA78" i="11" s="1"/>
  <c r="AP154" i="15"/>
  <c r="AP155" i="15" s="1"/>
  <c r="AP156" i="15" s="1"/>
  <c r="AP150" i="15"/>
  <c r="AP78" i="11" s="1"/>
  <c r="AO154" i="15"/>
  <c r="AO155" i="15" s="1"/>
  <c r="AO156" i="15" s="1"/>
  <c r="AO150" i="15"/>
  <c r="AO78" i="11" s="1"/>
  <c r="G73" i="22"/>
  <c r="C154" i="15"/>
  <c r="C155" i="15" s="1"/>
  <c r="C156" i="15" s="1"/>
  <c r="C150" i="15"/>
  <c r="C78" i="11" s="1"/>
  <c r="C86" i="11" s="1"/>
  <c r="J154" i="15"/>
  <c r="J155" i="15" s="1"/>
  <c r="J156" i="15" s="1"/>
  <c r="J150" i="15"/>
  <c r="J78" i="11" s="1"/>
  <c r="M154" i="15"/>
  <c r="M55" i="11" s="1"/>
  <c r="M150" i="15"/>
  <c r="M78" i="11" s="1"/>
  <c r="N154" i="15"/>
  <c r="N155" i="15" s="1"/>
  <c r="N156" i="15" s="1"/>
  <c r="N150" i="15"/>
  <c r="N78" i="11" s="1"/>
  <c r="L154" i="15"/>
  <c r="L55" i="11" s="1"/>
  <c r="L150" i="15"/>
  <c r="L78" i="11" s="1"/>
  <c r="I154" i="15"/>
  <c r="I155" i="15" s="1"/>
  <c r="I156" i="15" s="1"/>
  <c r="I150" i="15"/>
  <c r="I78" i="11" s="1"/>
  <c r="AH154" i="15"/>
  <c r="AH155" i="15" s="1"/>
  <c r="AH156" i="15" s="1"/>
  <c r="AH150" i="15"/>
  <c r="AH78" i="11" s="1"/>
  <c r="U154" i="15"/>
  <c r="U155" i="15" s="1"/>
  <c r="U156" i="15" s="1"/>
  <c r="U150" i="15"/>
  <c r="U78" i="11" s="1"/>
  <c r="BI154" i="15"/>
  <c r="BI155" i="15" s="1"/>
  <c r="BI156" i="15" s="1"/>
  <c r="BI150" i="15"/>
  <c r="BI78" i="11" s="1"/>
  <c r="BE154" i="15"/>
  <c r="BE155" i="15" s="1"/>
  <c r="BE156" i="15" s="1"/>
  <c r="BE150" i="15"/>
  <c r="BE78" i="11" s="1"/>
  <c r="AE154" i="15"/>
  <c r="AE155" i="15" s="1"/>
  <c r="AE156" i="15" s="1"/>
  <c r="AE150" i="15"/>
  <c r="AE78" i="11" s="1"/>
  <c r="AX154" i="15"/>
  <c r="AX155" i="15" s="1"/>
  <c r="AX156" i="15" s="1"/>
  <c r="AX150" i="15"/>
  <c r="AX78" i="11" s="1"/>
  <c r="Y154" i="15"/>
  <c r="Y155" i="15" s="1"/>
  <c r="Y156" i="15" s="1"/>
  <c r="Y150" i="15"/>
  <c r="Y78" i="11" s="1"/>
  <c r="R154" i="15"/>
  <c r="R155" i="15" s="1"/>
  <c r="R156" i="15" s="1"/>
  <c r="R150" i="15"/>
  <c r="R78" i="11" s="1"/>
  <c r="K154" i="15"/>
  <c r="K155" i="15" s="1"/>
  <c r="K156" i="15" s="1"/>
  <c r="K150" i="15"/>
  <c r="K78" i="11" s="1"/>
  <c r="H154" i="15"/>
  <c r="H155" i="15" s="1"/>
  <c r="H156" i="15" s="1"/>
  <c r="H150" i="15"/>
  <c r="H78" i="11" s="1"/>
  <c r="F154" i="15"/>
  <c r="F155" i="15" s="1"/>
  <c r="F156" i="15" s="1"/>
  <c r="F150" i="15"/>
  <c r="F78" i="11" s="1"/>
  <c r="G154" i="15"/>
  <c r="G55" i="11" s="1"/>
  <c r="G63" i="11" s="1"/>
  <c r="G150" i="15"/>
  <c r="G78" i="11" s="1"/>
  <c r="D57" i="18"/>
  <c r="E154" i="15"/>
  <c r="E155" i="15" s="1"/>
  <c r="E156" i="15" s="1"/>
  <c r="E150" i="15"/>
  <c r="E78" i="11" s="1"/>
  <c r="AT154" i="15"/>
  <c r="AT155" i="15" s="1"/>
  <c r="AT156" i="15" s="1"/>
  <c r="AT150" i="15"/>
  <c r="AT78" i="11" s="1"/>
  <c r="AK154" i="15"/>
  <c r="AK155" i="15" s="1"/>
  <c r="AK156" i="15" s="1"/>
  <c r="AK150" i="15"/>
  <c r="AK78" i="11" s="1"/>
  <c r="BF154" i="15"/>
  <c r="BF155" i="15" s="1"/>
  <c r="BF156" i="15" s="1"/>
  <c r="BF150" i="15"/>
  <c r="BF78" i="11" s="1"/>
  <c r="W154" i="15"/>
  <c r="W155" i="15" s="1"/>
  <c r="W156" i="15" s="1"/>
  <c r="W150" i="15"/>
  <c r="W78" i="11" s="1"/>
  <c r="AN154" i="15"/>
  <c r="AN155" i="15" s="1"/>
  <c r="AN156" i="15" s="1"/>
  <c r="AN150" i="15"/>
  <c r="AN78" i="11" s="1"/>
  <c r="AF154" i="15"/>
  <c r="AF155" i="15" s="1"/>
  <c r="AF156" i="15" s="1"/>
  <c r="AF150" i="15"/>
  <c r="AF78" i="11" s="1"/>
  <c r="BA154" i="15"/>
  <c r="BA155" i="15" s="1"/>
  <c r="BA156" i="15" s="1"/>
  <c r="BA150" i="15"/>
  <c r="BA78" i="11" s="1"/>
  <c r="Z154" i="15"/>
  <c r="Z155" i="15" s="1"/>
  <c r="Z156" i="15" s="1"/>
  <c r="Z150" i="15"/>
  <c r="Z78" i="11" s="1"/>
  <c r="AI154" i="15"/>
  <c r="AI155" i="15" s="1"/>
  <c r="AI156" i="15" s="1"/>
  <c r="AI150" i="15"/>
  <c r="AI78" i="11" s="1"/>
  <c r="X154" i="15"/>
  <c r="X155" i="15" s="1"/>
  <c r="X156" i="15" s="1"/>
  <c r="X150" i="15"/>
  <c r="X78" i="11" s="1"/>
  <c r="P154" i="15"/>
  <c r="P155" i="15" s="1"/>
  <c r="P156" i="15" s="1"/>
  <c r="P150" i="15"/>
  <c r="P78" i="11" s="1"/>
  <c r="AU154" i="15"/>
  <c r="AU155" i="15" s="1"/>
  <c r="AU156" i="15" s="1"/>
  <c r="AU150" i="15"/>
  <c r="AU78" i="11" s="1"/>
  <c r="AL154" i="15"/>
  <c r="AL155" i="15" s="1"/>
  <c r="AL156" i="15" s="1"/>
  <c r="AL150" i="15"/>
  <c r="AL78" i="11" s="1"/>
  <c r="BG154" i="15"/>
  <c r="BG155" i="15" s="1"/>
  <c r="BG156" i="15" s="1"/>
  <c r="BG150" i="15"/>
  <c r="BG78" i="11" s="1"/>
  <c r="AZ154" i="15"/>
  <c r="AZ155" i="15" s="1"/>
  <c r="AZ156" i="15" s="1"/>
  <c r="AZ150" i="15"/>
  <c r="AZ78" i="11" s="1"/>
  <c r="V154" i="15"/>
  <c r="V155" i="15" s="1"/>
  <c r="V156" i="15" s="1"/>
  <c r="V150" i="15"/>
  <c r="V78" i="11" s="1"/>
  <c r="AG154" i="15"/>
  <c r="AG155" i="15" s="1"/>
  <c r="AG156" i="15" s="1"/>
  <c r="AG150" i="15"/>
  <c r="AG78" i="11" s="1"/>
  <c r="BB154" i="15"/>
  <c r="BB155" i="15" s="1"/>
  <c r="BB156" i="15" s="1"/>
  <c r="BB150" i="15"/>
  <c r="BB78" i="11" s="1"/>
  <c r="AD154" i="15"/>
  <c r="AD155" i="15" s="1"/>
  <c r="AD156" i="15" s="1"/>
  <c r="AD150" i="15"/>
  <c r="AD78" i="11" s="1"/>
  <c r="AM154" i="15"/>
  <c r="AM155" i="15" s="1"/>
  <c r="AM156" i="15" s="1"/>
  <c r="AM150" i="15"/>
  <c r="AM78" i="11" s="1"/>
  <c r="T154" i="15"/>
  <c r="T155" i="15" s="1"/>
  <c r="T156" i="15" s="1"/>
  <c r="T150" i="15"/>
  <c r="T78" i="11" s="1"/>
  <c r="S154" i="15"/>
  <c r="S155" i="15" s="1"/>
  <c r="S156" i="15" s="1"/>
  <c r="S150" i="15"/>
  <c r="S78" i="11" s="1"/>
  <c r="E57" i="17"/>
  <c r="L554" i="1"/>
  <c r="N554" i="1" s="1"/>
  <c r="E40" i="25"/>
  <c r="G40" i="25" s="1"/>
  <c r="C58" i="29"/>
  <c r="C45" i="29"/>
  <c r="C49" i="29" s="1"/>
  <c r="C53" i="29" s="1"/>
  <c r="C44" i="29"/>
  <c r="C48" i="29" s="1"/>
  <c r="C52" i="29" s="1"/>
  <c r="C43" i="29"/>
  <c r="C47" i="29" s="1"/>
  <c r="C35" i="17" a="1"/>
  <c r="C35" i="17" s="1"/>
  <c r="C40" i="17" s="1"/>
  <c r="B59" i="29"/>
  <c r="B60" i="29"/>
  <c r="B61" i="29"/>
  <c r="E72" i="29"/>
  <c r="B46" i="29"/>
  <c r="B51" i="29"/>
  <c r="B54" i="29" s="1"/>
  <c r="B41" i="17"/>
  <c r="B39" i="17"/>
  <c r="B40" i="17"/>
  <c r="D42" i="29"/>
  <c r="D72" i="29"/>
  <c r="C58" i="17"/>
  <c r="C57" i="22"/>
  <c r="C58" i="18"/>
  <c r="B36" i="18"/>
  <c r="B40" i="18" s="1"/>
  <c r="D40" i="22"/>
  <c r="D74" i="22"/>
  <c r="D43" i="22"/>
  <c r="D44" i="22" s="1"/>
  <c r="C59" i="16"/>
  <c r="D58" i="16"/>
  <c r="E184" i="27"/>
  <c r="E185" i="27"/>
  <c r="E40" i="22"/>
  <c r="E74" i="22"/>
  <c r="E43" i="22"/>
  <c r="E44" i="22" s="1"/>
  <c r="C50" i="16"/>
  <c r="C52" i="16"/>
  <c r="C51" i="16"/>
  <c r="C49" i="16"/>
  <c r="C60" i="22"/>
  <c r="C61" i="22" s="1"/>
  <c r="B62" i="22"/>
  <c r="B63" i="22" s="1"/>
  <c r="D3" i="3"/>
  <c r="F182" i="27"/>
  <c r="F184" i="27" s="1"/>
  <c r="S71" i="27"/>
  <c r="B52" i="16"/>
  <c r="B51" i="16"/>
  <c r="B50" i="16"/>
  <c r="B49" i="16"/>
  <c r="C34" i="18"/>
  <c r="C35" i="18" s="1"/>
  <c r="P40" i="27"/>
  <c r="Q38" i="27"/>
  <c r="L547" i="1"/>
  <c r="N547" i="1" s="1"/>
  <c r="E392" i="1"/>
  <c r="I22" i="1"/>
  <c r="G356" i="1"/>
  <c r="I28" i="1" s="1"/>
  <c r="J311" i="1"/>
  <c r="J347" i="1" s="1"/>
  <c r="I311" i="1"/>
  <c r="I347" i="1" s="1"/>
  <c r="G347" i="1"/>
  <c r="H311" i="1"/>
  <c r="H347" i="1" s="1"/>
  <c r="K311" i="1"/>
  <c r="K347" i="1" s="1"/>
  <c r="F70" i="11"/>
  <c r="M6" i="2"/>
  <c r="N277" i="1"/>
  <c r="F279" i="1"/>
  <c r="G279" i="1" s="1"/>
  <c r="L279" i="1" s="1"/>
  <c r="N279" i="1" s="1"/>
  <c r="G278" i="1"/>
  <c r="F556" i="1"/>
  <c r="G555" i="1"/>
  <c r="F549" i="1"/>
  <c r="G549" i="1" s="1"/>
  <c r="G548" i="1"/>
  <c r="E34" i="25" s="1"/>
  <c r="G34" i="25" s="1"/>
  <c r="L167" i="1"/>
  <c r="L77" i="1"/>
  <c r="F71" i="11"/>
  <c r="G29" i="14"/>
  <c r="G19" i="4" s="1"/>
  <c r="F19" i="4"/>
  <c r="F12" i="4"/>
  <c r="G22" i="14"/>
  <c r="G12" i="4" s="1"/>
  <c r="F42" i="6"/>
  <c r="F45" i="6" s="1"/>
  <c r="E12" i="6"/>
  <c r="G26" i="14"/>
  <c r="G16" i="4" s="1"/>
  <c r="F16" i="4"/>
  <c r="F9" i="4"/>
  <c r="G19" i="14"/>
  <c r="J7" i="2"/>
  <c r="F62" i="25" s="1"/>
  <c r="F64" i="25" s="1"/>
  <c r="K4" i="2"/>
  <c r="F13" i="4"/>
  <c r="G23" i="14"/>
  <c r="G13" i="4" s="1"/>
  <c r="G21" i="14"/>
  <c r="G11" i="4" s="1"/>
  <c r="F11" i="4"/>
  <c r="G10" i="8"/>
  <c r="H43" i="6"/>
  <c r="G24" i="14"/>
  <c r="G14" i="4" s="1"/>
  <c r="F14" i="4"/>
  <c r="F21" i="4"/>
  <c r="G30" i="14"/>
  <c r="G21" i="4" s="1"/>
  <c r="F17" i="4"/>
  <c r="G27" i="14"/>
  <c r="G17" i="4" s="1"/>
  <c r="F10" i="2"/>
  <c r="F21" i="2" s="1"/>
  <c r="E21" i="2"/>
  <c r="F18" i="4"/>
  <c r="G28" i="14"/>
  <c r="G18" i="4" s="1"/>
  <c r="G48" i="6"/>
  <c r="G50" i="6" s="1"/>
  <c r="F21" i="6"/>
  <c r="F22" i="6" s="1"/>
  <c r="E62" i="7"/>
  <c r="E33" i="14"/>
  <c r="N244" i="1"/>
  <c r="L257" i="1"/>
  <c r="AA46" i="19" l="1"/>
  <c r="AA50" i="19" s="1"/>
  <c r="AA43" i="19"/>
  <c r="AH46" i="19"/>
  <c r="AH50" i="19" s="1"/>
  <c r="AH43" i="19"/>
  <c r="AW34" i="19"/>
  <c r="AW40" i="19" s="1"/>
  <c r="AW47" i="19" s="1"/>
  <c r="AW33" i="19"/>
  <c r="AW39" i="19" s="1"/>
  <c r="AW35" i="19"/>
  <c r="AW41" i="19" s="1"/>
  <c r="AW48" i="19" s="1"/>
  <c r="AW36" i="19"/>
  <c r="AW42" i="19" s="1"/>
  <c r="AW49" i="19" s="1"/>
  <c r="AR35" i="19"/>
  <c r="AR41" i="19" s="1"/>
  <c r="AR48" i="19" s="1"/>
  <c r="AR33" i="19"/>
  <c r="AR39" i="19" s="1"/>
  <c r="AR34" i="19"/>
  <c r="AR40" i="19" s="1"/>
  <c r="AR47" i="19" s="1"/>
  <c r="AR36" i="19"/>
  <c r="AR42" i="19" s="1"/>
  <c r="AR49" i="19" s="1"/>
  <c r="AM34" i="19"/>
  <c r="AM40" i="19" s="1"/>
  <c r="AM47" i="19" s="1"/>
  <c r="AM35" i="19"/>
  <c r="AM41" i="19" s="1"/>
  <c r="AM48" i="19" s="1"/>
  <c r="AM33" i="19"/>
  <c r="AM39" i="19" s="1"/>
  <c r="AM36" i="19"/>
  <c r="AM42" i="19" s="1"/>
  <c r="AM49" i="19" s="1"/>
  <c r="AC46" i="19"/>
  <c r="AC50" i="19" s="1"/>
  <c r="AC43" i="19"/>
  <c r="AG46" i="19"/>
  <c r="AG50" i="19" s="1"/>
  <c r="AG43" i="19"/>
  <c r="AZ32" i="19"/>
  <c r="BD32" i="19"/>
  <c r="BH32" i="19"/>
  <c r="BA32" i="19"/>
  <c r="BE32" i="19"/>
  <c r="BI32" i="19"/>
  <c r="BB32" i="19"/>
  <c r="BF32" i="19"/>
  <c r="AX32" i="19"/>
  <c r="AY32" i="19"/>
  <c r="BC32" i="19"/>
  <c r="BG32" i="19"/>
  <c r="AF46" i="19"/>
  <c r="AF50" i="19" s="1"/>
  <c r="AF43" i="19"/>
  <c r="AK46" i="19"/>
  <c r="AK50" i="19" s="1"/>
  <c r="AK43" i="19"/>
  <c r="AL36" i="19"/>
  <c r="AL42" i="19" s="1"/>
  <c r="AL49" i="19" s="1"/>
  <c r="AL33" i="19"/>
  <c r="AL39" i="19" s="1"/>
  <c r="AL34" i="19"/>
  <c r="AL40" i="19" s="1"/>
  <c r="AL47" i="19" s="1"/>
  <c r="AL35" i="19"/>
  <c r="AL41" i="19" s="1"/>
  <c r="AL48" i="19" s="1"/>
  <c r="AS33" i="19"/>
  <c r="AS39" i="19" s="1"/>
  <c r="AS34" i="19"/>
  <c r="AS40" i="19" s="1"/>
  <c r="AS47" i="19" s="1"/>
  <c r="AS36" i="19"/>
  <c r="AS42" i="19" s="1"/>
  <c r="AS49" i="19" s="1"/>
  <c r="AS35" i="19"/>
  <c r="AS41" i="19" s="1"/>
  <c r="AS48" i="19" s="1"/>
  <c r="AN35" i="19"/>
  <c r="AN41" i="19" s="1"/>
  <c r="AN48" i="19" s="1"/>
  <c r="AN36" i="19"/>
  <c r="AN42" i="19" s="1"/>
  <c r="AN49" i="19" s="1"/>
  <c r="AN33" i="19"/>
  <c r="AN39" i="19" s="1"/>
  <c r="AN34" i="19"/>
  <c r="AN40" i="19" s="1"/>
  <c r="AN47" i="19" s="1"/>
  <c r="AE46" i="19"/>
  <c r="AE50" i="19" s="1"/>
  <c r="AE43" i="19"/>
  <c r="AD46" i="19"/>
  <c r="AD50" i="19" s="1"/>
  <c r="AD43" i="19"/>
  <c r="AB46" i="19"/>
  <c r="AB50" i="19" s="1"/>
  <c r="AB43" i="19"/>
  <c r="Z46" i="19"/>
  <c r="Z50" i="19" s="1"/>
  <c r="Z43" i="19"/>
  <c r="AI46" i="19"/>
  <c r="AI50" i="19" s="1"/>
  <c r="AI43" i="19"/>
  <c r="AT35" i="19"/>
  <c r="AT41" i="19" s="1"/>
  <c r="AT48" i="19" s="1"/>
  <c r="AT33" i="19"/>
  <c r="AT39" i="19" s="1"/>
  <c r="AT36" i="19"/>
  <c r="AT42" i="19" s="1"/>
  <c r="AT49" i="19" s="1"/>
  <c r="AT34" i="19"/>
  <c r="AT40" i="19" s="1"/>
  <c r="AT47" i="19" s="1"/>
  <c r="AO33" i="19"/>
  <c r="AO39" i="19" s="1"/>
  <c r="AO36" i="19"/>
  <c r="AO42" i="19" s="1"/>
  <c r="AO49" i="19" s="1"/>
  <c r="AO35" i="19"/>
  <c r="AO41" i="19" s="1"/>
  <c r="AO48" i="19" s="1"/>
  <c r="AO34" i="19"/>
  <c r="AO40" i="19" s="1"/>
  <c r="AO47" i="19" s="1"/>
  <c r="AU33" i="19"/>
  <c r="AU39" i="19" s="1"/>
  <c r="AU34" i="19"/>
  <c r="AU40" i="19" s="1"/>
  <c r="AU47" i="19" s="1"/>
  <c r="AU36" i="19"/>
  <c r="AU42" i="19" s="1"/>
  <c r="AU49" i="19" s="1"/>
  <c r="AU35" i="19"/>
  <c r="AU41" i="19" s="1"/>
  <c r="AU48" i="19" s="1"/>
  <c r="O51" i="19"/>
  <c r="N54" i="19"/>
  <c r="N55" i="19" s="1"/>
  <c r="AP34" i="19"/>
  <c r="AP40" i="19" s="1"/>
  <c r="AP47" i="19" s="1"/>
  <c r="AP36" i="19"/>
  <c r="AP42" i="19" s="1"/>
  <c r="AP49" i="19" s="1"/>
  <c r="AP33" i="19"/>
  <c r="AP39" i="19" s="1"/>
  <c r="AP35" i="19"/>
  <c r="AP41" i="19" s="1"/>
  <c r="AP48" i="19" s="1"/>
  <c r="AV36" i="19"/>
  <c r="AV42" i="19" s="1"/>
  <c r="AV49" i="19" s="1"/>
  <c r="AV35" i="19"/>
  <c r="AV41" i="19" s="1"/>
  <c r="AV48" i="19" s="1"/>
  <c r="AV34" i="19"/>
  <c r="AV40" i="19" s="1"/>
  <c r="AV47" i="19" s="1"/>
  <c r="AV33" i="19"/>
  <c r="AV39" i="19" s="1"/>
  <c r="AQ33" i="19"/>
  <c r="AQ39" i="19" s="1"/>
  <c r="AQ34" i="19"/>
  <c r="AQ40" i="19" s="1"/>
  <c r="AQ47" i="19" s="1"/>
  <c r="AQ35" i="19"/>
  <c r="AQ41" i="19" s="1"/>
  <c r="AQ48" i="19" s="1"/>
  <c r="AQ36" i="19"/>
  <c r="AQ42" i="19" s="1"/>
  <c r="AQ49" i="19" s="1"/>
  <c r="AJ46" i="19"/>
  <c r="AJ50" i="19" s="1"/>
  <c r="AJ43" i="19"/>
  <c r="D36" i="16"/>
  <c r="D38" i="16" s="1"/>
  <c r="T71" i="27" s="1"/>
  <c r="H86" i="11"/>
  <c r="H4" i="3" s="1"/>
  <c r="B66" i="22"/>
  <c r="AE170" i="27" s="1"/>
  <c r="E86" i="11"/>
  <c r="E4" i="3" s="1"/>
  <c r="G86" i="11"/>
  <c r="G4" i="3" s="1"/>
  <c r="I86" i="11"/>
  <c r="I4" i="3" s="1"/>
  <c r="N86" i="11"/>
  <c r="N4" i="3" s="1"/>
  <c r="J86" i="11"/>
  <c r="J4" i="3" s="1"/>
  <c r="F86" i="11"/>
  <c r="F4" i="3" s="1"/>
  <c r="K86" i="11"/>
  <c r="K4" i="3" s="1"/>
  <c r="L86" i="11"/>
  <c r="L4" i="3" s="1"/>
  <c r="M86" i="11"/>
  <c r="M4" i="3" s="1"/>
  <c r="E57" i="18"/>
  <c r="E39" i="18" s="1"/>
  <c r="D39" i="18"/>
  <c r="B46" i="31"/>
  <c r="B49" i="31" s="1"/>
  <c r="B52" i="31" s="1"/>
  <c r="F57" i="31"/>
  <c r="E58" i="31"/>
  <c r="C42" i="31"/>
  <c r="C45" i="31"/>
  <c r="C40" i="31"/>
  <c r="C43" i="31"/>
  <c r="C44" i="31"/>
  <c r="C41" i="31"/>
  <c r="D37" i="31"/>
  <c r="E36" i="31"/>
  <c r="B67" i="22"/>
  <c r="AD173" i="27" s="1"/>
  <c r="AD175" i="27" s="1"/>
  <c r="C51" i="22"/>
  <c r="B45" i="22"/>
  <c r="O44" i="27"/>
  <c r="O46" i="27" s="1"/>
  <c r="N44" i="27"/>
  <c r="N46" i="27" s="1"/>
  <c r="C45" i="22"/>
  <c r="D55" i="11"/>
  <c r="E55" i="11"/>
  <c r="G44" i="27" s="1"/>
  <c r="G46" i="27" s="1"/>
  <c r="N24" i="1"/>
  <c r="B11" i="2" s="1"/>
  <c r="C11" i="2" s="1"/>
  <c r="C22" i="2" s="1"/>
  <c r="N513" i="1"/>
  <c r="L30" i="1"/>
  <c r="G66" i="11"/>
  <c r="F55" i="11"/>
  <c r="K55" i="11"/>
  <c r="K63" i="11" s="1"/>
  <c r="I55" i="11"/>
  <c r="N55" i="11"/>
  <c r="J55" i="11"/>
  <c r="C55" i="11"/>
  <c r="C63" i="11" s="1"/>
  <c r="E90" i="11"/>
  <c r="C90" i="11"/>
  <c r="F57" i="17"/>
  <c r="F57" i="18"/>
  <c r="H71" i="29"/>
  <c r="H72" i="29" s="1"/>
  <c r="M155" i="15"/>
  <c r="M156" i="15" s="1"/>
  <c r="L155" i="15"/>
  <c r="L156" i="15" s="1"/>
  <c r="F90" i="11"/>
  <c r="I44" i="27"/>
  <c r="I46" i="27" s="1"/>
  <c r="H55" i="11"/>
  <c r="G155" i="15"/>
  <c r="G156" i="15" s="1"/>
  <c r="B90" i="11"/>
  <c r="D90" i="11"/>
  <c r="H73" i="22"/>
  <c r="L549" i="1"/>
  <c r="N549" i="1" s="1"/>
  <c r="E35" i="25"/>
  <c r="G35" i="25" s="1"/>
  <c r="L555" i="1"/>
  <c r="N555" i="1" s="1"/>
  <c r="E41" i="25"/>
  <c r="G41" i="25" s="1"/>
  <c r="B62" i="29"/>
  <c r="B63" i="29" s="1"/>
  <c r="B66" i="29" s="1"/>
  <c r="D35" i="17" a="1"/>
  <c r="D35" i="17" s="1"/>
  <c r="E35" i="17" s="1" a="1"/>
  <c r="E35" i="17" s="1"/>
  <c r="C39" i="17"/>
  <c r="C41" i="17"/>
  <c r="B55" i="29"/>
  <c r="B74" i="29" s="1"/>
  <c r="B75" i="29" s="1"/>
  <c r="B76" i="29" s="1"/>
  <c r="S84" i="11" s="1"/>
  <c r="D58" i="29"/>
  <c r="D44" i="29"/>
  <c r="D48" i="29" s="1"/>
  <c r="D52" i="29" s="1"/>
  <c r="D45" i="29"/>
  <c r="D49" i="29" s="1"/>
  <c r="D53" i="29" s="1"/>
  <c r="D43" i="29"/>
  <c r="D47" i="29" s="1"/>
  <c r="F72" i="29"/>
  <c r="E42" i="29"/>
  <c r="F42" i="29" s="1"/>
  <c r="C59" i="29"/>
  <c r="C60" i="29"/>
  <c r="C61" i="29"/>
  <c r="C51" i="29"/>
  <c r="C54" i="29" s="1"/>
  <c r="C46" i="29"/>
  <c r="D60" i="22"/>
  <c r="D61" i="22" s="1"/>
  <c r="E3" i="3"/>
  <c r="G182" i="27"/>
  <c r="G184" i="27" s="1"/>
  <c r="B53" i="16"/>
  <c r="Q74" i="27" s="1"/>
  <c r="Q76" i="27" s="1"/>
  <c r="D58" i="17"/>
  <c r="D38" i="17"/>
  <c r="C36" i="18"/>
  <c r="C62" i="22"/>
  <c r="C63" i="22" s="1"/>
  <c r="C66" i="22"/>
  <c r="E34" i="18"/>
  <c r="E58" i="18"/>
  <c r="F74" i="22"/>
  <c r="F43" i="22"/>
  <c r="F44" i="22" s="1"/>
  <c r="F40" i="22"/>
  <c r="C53" i="16"/>
  <c r="R74" i="27" s="1"/>
  <c r="R76" i="27" s="1"/>
  <c r="E42" i="22"/>
  <c r="E54" i="22" s="1"/>
  <c r="E55" i="22" s="1"/>
  <c r="E56" i="22" s="1"/>
  <c r="E41" i="22"/>
  <c r="E48" i="22" s="1"/>
  <c r="E49" i="22" s="1"/>
  <c r="E50" i="22" s="1"/>
  <c r="E58" i="16"/>
  <c r="E36" i="16" s="1"/>
  <c r="D59" i="16"/>
  <c r="D42" i="22"/>
  <c r="D54" i="22" s="1"/>
  <c r="D55" i="22" s="1"/>
  <c r="D56" i="22" s="1"/>
  <c r="D57" i="22" s="1"/>
  <c r="D41" i="22"/>
  <c r="D48" i="22" s="1"/>
  <c r="D49" i="22" s="1"/>
  <c r="D50" i="22" s="1"/>
  <c r="B41" i="18"/>
  <c r="B46" i="18"/>
  <c r="E58" i="17"/>
  <c r="E38" i="17"/>
  <c r="E60" i="22"/>
  <c r="E61" i="22" s="1"/>
  <c r="D58" i="18"/>
  <c r="D34" i="18"/>
  <c r="E187" i="27"/>
  <c r="F185" i="27"/>
  <c r="Q40" i="27"/>
  <c r="R38" i="27"/>
  <c r="L311" i="1"/>
  <c r="E437" i="1"/>
  <c r="G401" i="1"/>
  <c r="J28" i="1" s="1"/>
  <c r="J22" i="1"/>
  <c r="J25" i="1" s="1"/>
  <c r="K356" i="1"/>
  <c r="K392" i="1" s="1"/>
  <c r="I356" i="1"/>
  <c r="I392" i="1" s="1"/>
  <c r="J356" i="1"/>
  <c r="J392" i="1" s="1"/>
  <c r="H356" i="1"/>
  <c r="H392" i="1" s="1"/>
  <c r="G392" i="1"/>
  <c r="I25" i="1"/>
  <c r="G70" i="11"/>
  <c r="L278" i="1"/>
  <c r="G302" i="1"/>
  <c r="F302" i="1"/>
  <c r="F557" i="1"/>
  <c r="G556" i="1"/>
  <c r="E42" i="25" s="1"/>
  <c r="G42" i="25" s="1"/>
  <c r="L548" i="1"/>
  <c r="G11" i="8"/>
  <c r="G9" i="4"/>
  <c r="G71" i="11"/>
  <c r="E33" i="7"/>
  <c r="F60" i="7"/>
  <c r="K7" i="2"/>
  <c r="G62" i="25" s="1"/>
  <c r="G64" i="25" s="1"/>
  <c r="L4" i="2"/>
  <c r="E63" i="7"/>
  <c r="H48" i="6"/>
  <c r="H50" i="6" s="1"/>
  <c r="G21" i="6"/>
  <c r="G22" i="6" s="1"/>
  <c r="G42" i="6"/>
  <c r="G45" i="6" s="1"/>
  <c r="F12" i="6"/>
  <c r="I43" i="6"/>
  <c r="H10" i="8"/>
  <c r="H11" i="8" s="1"/>
  <c r="F58" i="16" l="1"/>
  <c r="G58" i="16" s="1"/>
  <c r="AE173" i="27"/>
  <c r="AE175" i="27" s="1"/>
  <c r="AQ46" i="19"/>
  <c r="AQ50" i="19" s="1"/>
  <c r="AQ43" i="19"/>
  <c r="AP46" i="19"/>
  <c r="AP50" i="19" s="1"/>
  <c r="AP43" i="19"/>
  <c r="P51" i="19"/>
  <c r="O54" i="19"/>
  <c r="O55" i="19" s="1"/>
  <c r="O62" i="19" s="1"/>
  <c r="AN46" i="19"/>
  <c r="AN50" i="19" s="1"/>
  <c r="AN43" i="19"/>
  <c r="AX36" i="19"/>
  <c r="AX42" i="19" s="1"/>
  <c r="AX49" i="19" s="1"/>
  <c r="AX33" i="19"/>
  <c r="AX39" i="19" s="1"/>
  <c r="AX35" i="19"/>
  <c r="AX41" i="19" s="1"/>
  <c r="AX48" i="19" s="1"/>
  <c r="AX34" i="19"/>
  <c r="AX40" i="19" s="1"/>
  <c r="AX47" i="19" s="1"/>
  <c r="BE33" i="19"/>
  <c r="BE39" i="19" s="1"/>
  <c r="BE36" i="19"/>
  <c r="BE42" i="19" s="1"/>
  <c r="BE49" i="19" s="1"/>
  <c r="BE35" i="19"/>
  <c r="BE41" i="19" s="1"/>
  <c r="BE48" i="19" s="1"/>
  <c r="BE34" i="19"/>
  <c r="BE40" i="19" s="1"/>
  <c r="BE47" i="19" s="1"/>
  <c r="AZ33" i="19"/>
  <c r="AZ39" i="19" s="1"/>
  <c r="AZ36" i="19"/>
  <c r="AZ42" i="19" s="1"/>
  <c r="AZ49" i="19" s="1"/>
  <c r="AZ34" i="19"/>
  <c r="AZ40" i="19" s="1"/>
  <c r="AZ47" i="19" s="1"/>
  <c r="AZ35" i="19"/>
  <c r="AZ41" i="19" s="1"/>
  <c r="AZ48" i="19" s="1"/>
  <c r="AU46" i="19"/>
  <c r="AU50" i="19" s="1"/>
  <c r="AU43" i="19"/>
  <c r="BG33" i="19"/>
  <c r="BG39" i="19" s="1"/>
  <c r="BG35" i="19"/>
  <c r="BG41" i="19" s="1"/>
  <c r="BG48" i="19" s="1"/>
  <c r="BG36" i="19"/>
  <c r="BG42" i="19" s="1"/>
  <c r="BG49" i="19" s="1"/>
  <c r="BG34" i="19"/>
  <c r="BG40" i="19" s="1"/>
  <c r="BG47" i="19" s="1"/>
  <c r="BF34" i="19"/>
  <c r="BF40" i="19" s="1"/>
  <c r="BF47" i="19" s="1"/>
  <c r="BF35" i="19"/>
  <c r="BF41" i="19" s="1"/>
  <c r="BF48" i="19" s="1"/>
  <c r="BF36" i="19"/>
  <c r="BF42" i="19" s="1"/>
  <c r="BF49" i="19" s="1"/>
  <c r="BF33" i="19"/>
  <c r="BF39" i="19" s="1"/>
  <c r="BA33" i="19"/>
  <c r="BA39" i="19" s="1"/>
  <c r="BA35" i="19"/>
  <c r="BA41" i="19" s="1"/>
  <c r="BA48" i="19" s="1"/>
  <c r="BA36" i="19"/>
  <c r="BA42" i="19" s="1"/>
  <c r="BA49" i="19" s="1"/>
  <c r="BA34" i="19"/>
  <c r="BA40" i="19" s="1"/>
  <c r="BA47" i="19" s="1"/>
  <c r="AR46" i="19"/>
  <c r="AR50" i="19" s="1"/>
  <c r="AR43" i="19"/>
  <c r="AV46" i="19"/>
  <c r="AV50" i="19" s="1"/>
  <c r="AV43" i="19"/>
  <c r="AO46" i="19"/>
  <c r="AO50" i="19" s="1"/>
  <c r="AO43" i="19"/>
  <c r="AT46" i="19"/>
  <c r="AT50" i="19" s="1"/>
  <c r="AT43" i="19"/>
  <c r="BC34" i="19"/>
  <c r="BC40" i="19" s="1"/>
  <c r="BC47" i="19" s="1"/>
  <c r="BC33" i="19"/>
  <c r="BC39" i="19" s="1"/>
  <c r="BC35" i="19"/>
  <c r="BC41" i="19" s="1"/>
  <c r="BC48" i="19" s="1"/>
  <c r="BC36" i="19"/>
  <c r="BC42" i="19" s="1"/>
  <c r="BC49" i="19" s="1"/>
  <c r="BB33" i="19"/>
  <c r="BB39" i="19" s="1"/>
  <c r="BB34" i="19"/>
  <c r="BB40" i="19" s="1"/>
  <c r="BB47" i="19" s="1"/>
  <c r="BB35" i="19"/>
  <c r="BB41" i="19" s="1"/>
  <c r="BB48" i="19" s="1"/>
  <c r="BB36" i="19"/>
  <c r="BB42" i="19" s="1"/>
  <c r="BB49" i="19" s="1"/>
  <c r="BH36" i="19"/>
  <c r="BH42" i="19" s="1"/>
  <c r="BH49" i="19" s="1"/>
  <c r="BH33" i="19"/>
  <c r="BH39" i="19" s="1"/>
  <c r="BH35" i="19"/>
  <c r="BH41" i="19" s="1"/>
  <c r="BH48" i="19" s="1"/>
  <c r="BH34" i="19"/>
  <c r="BH40" i="19" s="1"/>
  <c r="BH47" i="19" s="1"/>
  <c r="AW46" i="19"/>
  <c r="AW50" i="19" s="1"/>
  <c r="AW43" i="19"/>
  <c r="N62" i="19"/>
  <c r="N56" i="19"/>
  <c r="AS46" i="19"/>
  <c r="AS50" i="19" s="1"/>
  <c r="AS43" i="19"/>
  <c r="AL46" i="19"/>
  <c r="AL50" i="19" s="1"/>
  <c r="AL43" i="19"/>
  <c r="AY33" i="19"/>
  <c r="AY39" i="19" s="1"/>
  <c r="AY35" i="19"/>
  <c r="AY41" i="19" s="1"/>
  <c r="AY48" i="19" s="1"/>
  <c r="AY34" i="19"/>
  <c r="AY40" i="19" s="1"/>
  <c r="AY47" i="19" s="1"/>
  <c r="AY36" i="19"/>
  <c r="AY42" i="19" s="1"/>
  <c r="AY49" i="19" s="1"/>
  <c r="BI33" i="19"/>
  <c r="BI39" i="19" s="1"/>
  <c r="BI34" i="19"/>
  <c r="BI40" i="19" s="1"/>
  <c r="BI47" i="19" s="1"/>
  <c r="BI36" i="19"/>
  <c r="BI42" i="19" s="1"/>
  <c r="BI49" i="19" s="1"/>
  <c r="BI35" i="19"/>
  <c r="BI41" i="19" s="1"/>
  <c r="BI48" i="19" s="1"/>
  <c r="BD33" i="19"/>
  <c r="BD39" i="19" s="1"/>
  <c r="BD34" i="19"/>
  <c r="BD40" i="19" s="1"/>
  <c r="BD47" i="19" s="1"/>
  <c r="BD36" i="19"/>
  <c r="BD42" i="19" s="1"/>
  <c r="BD49" i="19" s="1"/>
  <c r="BD35" i="19"/>
  <c r="BD41" i="19" s="1"/>
  <c r="BD48" i="19" s="1"/>
  <c r="AM46" i="19"/>
  <c r="AM50" i="19" s="1"/>
  <c r="AM43" i="19"/>
  <c r="C67" i="22"/>
  <c r="C68" i="22" s="1"/>
  <c r="AD170" i="27"/>
  <c r="B98" i="11"/>
  <c r="C5" i="4" s="1"/>
  <c r="B76" i="22"/>
  <c r="B77" i="22" s="1"/>
  <c r="B78" i="22" s="1"/>
  <c r="AC83" i="11" s="1"/>
  <c r="B81" i="22"/>
  <c r="B88" i="22" s="1"/>
  <c r="B68" i="22"/>
  <c r="B69" i="22"/>
  <c r="D51" i="22"/>
  <c r="F36" i="31"/>
  <c r="E37" i="31"/>
  <c r="G57" i="31"/>
  <c r="F58" i="31"/>
  <c r="B60" i="31"/>
  <c r="B61" i="31" s="1"/>
  <c r="B72" i="31"/>
  <c r="B65" i="31"/>
  <c r="B53" i="31"/>
  <c r="D41" i="31"/>
  <c r="D42" i="31"/>
  <c r="D45" i="31"/>
  <c r="D43" i="31"/>
  <c r="D44" i="31"/>
  <c r="D40" i="31"/>
  <c r="H57" i="31"/>
  <c r="H58" i="31" s="1"/>
  <c r="C46" i="31"/>
  <c r="C49" i="31" s="1"/>
  <c r="C52" i="31" s="1"/>
  <c r="F66" i="11"/>
  <c r="F63" i="11"/>
  <c r="H66" i="11"/>
  <c r="H63" i="11"/>
  <c r="P44" i="27"/>
  <c r="P46" i="27" s="1"/>
  <c r="K44" i="27"/>
  <c r="K46" i="27" s="1"/>
  <c r="I63" i="11"/>
  <c r="D66" i="11"/>
  <c r="F47" i="27" s="1"/>
  <c r="F49" i="27" s="1"/>
  <c r="D63" i="11"/>
  <c r="L44" i="27"/>
  <c r="L46" i="27" s="1"/>
  <c r="J63" i="11"/>
  <c r="I47" i="27"/>
  <c r="I49" i="27" s="1"/>
  <c r="G74" i="11"/>
  <c r="E66" i="11"/>
  <c r="E74" i="11" s="1"/>
  <c r="E75" i="11" s="1"/>
  <c r="E63" i="11"/>
  <c r="F44" i="27"/>
  <c r="F46" i="27" s="1"/>
  <c r="D5" i="3"/>
  <c r="H44" i="27"/>
  <c r="H46" i="27" s="1"/>
  <c r="E44" i="27"/>
  <c r="E46" i="27" s="1"/>
  <c r="M44" i="27"/>
  <c r="M46" i="27" s="1"/>
  <c r="D11" i="2"/>
  <c r="D22" i="2" s="1"/>
  <c r="F34" i="18"/>
  <c r="G57" i="18"/>
  <c r="F58" i="18"/>
  <c r="C66" i="11"/>
  <c r="C74" i="11" s="1"/>
  <c r="C75" i="11" s="1"/>
  <c r="I73" i="22"/>
  <c r="J44" i="27"/>
  <c r="J46" i="27" s="1"/>
  <c r="B158" i="15"/>
  <c r="C4" i="3"/>
  <c r="C5" i="3" s="1"/>
  <c r="G57" i="17"/>
  <c r="I71" i="29"/>
  <c r="AB83" i="11"/>
  <c r="F35" i="17" a="1"/>
  <c r="F35" i="17" s="1"/>
  <c r="G72" i="29"/>
  <c r="G42" i="29"/>
  <c r="H42" i="29" s="1"/>
  <c r="E58" i="29"/>
  <c r="E45" i="29"/>
  <c r="E49" i="29" s="1"/>
  <c r="E53" i="29" s="1"/>
  <c r="E43" i="29"/>
  <c r="E47" i="29" s="1"/>
  <c r="E44" i="29"/>
  <c r="E48" i="29" s="1"/>
  <c r="E52" i="29" s="1"/>
  <c r="D59" i="29"/>
  <c r="D60" i="29"/>
  <c r="D61" i="29"/>
  <c r="B80" i="29"/>
  <c r="B85" i="29" s="1"/>
  <c r="O61" i="11"/>
  <c r="D51" i="29"/>
  <c r="D54" i="29" s="1"/>
  <c r="D46" i="29"/>
  <c r="B86" i="29"/>
  <c r="B67" i="29"/>
  <c r="B79" i="29"/>
  <c r="F58" i="29"/>
  <c r="F44" i="29"/>
  <c r="F48" i="29" s="1"/>
  <c r="F52" i="29" s="1"/>
  <c r="F43" i="29"/>
  <c r="F47" i="29" s="1"/>
  <c r="F45" i="29"/>
  <c r="F49" i="29" s="1"/>
  <c r="F53" i="29" s="1"/>
  <c r="E40" i="17"/>
  <c r="E41" i="17"/>
  <c r="E39" i="17"/>
  <c r="C55" i="29"/>
  <c r="C74" i="29" s="1"/>
  <c r="C75" i="29" s="1"/>
  <c r="C76" i="29" s="1"/>
  <c r="D41" i="17"/>
  <c r="D39" i="17"/>
  <c r="D40" i="17"/>
  <c r="C62" i="29"/>
  <c r="C63" i="29" s="1"/>
  <c r="C66" i="29" s="1"/>
  <c r="E5" i="3"/>
  <c r="E45" i="22"/>
  <c r="E51" i="22"/>
  <c r="F58" i="17"/>
  <c r="F38" i="17"/>
  <c r="E57" i="22"/>
  <c r="AF170" i="27"/>
  <c r="F3" i="3"/>
  <c r="F5" i="3" s="1"/>
  <c r="H182" i="27"/>
  <c r="H184" i="27" s="1"/>
  <c r="H74" i="22"/>
  <c r="H40" i="22"/>
  <c r="H43" i="22"/>
  <c r="H44" i="22" s="1"/>
  <c r="AC60" i="11"/>
  <c r="AC71" i="11" s="1"/>
  <c r="E62" i="22"/>
  <c r="E66" i="22"/>
  <c r="D51" i="16"/>
  <c r="D52" i="16"/>
  <c r="D50" i="16"/>
  <c r="D49" i="16"/>
  <c r="C66" i="16"/>
  <c r="C73" i="16" s="1"/>
  <c r="C61" i="16"/>
  <c r="C62" i="16" s="1"/>
  <c r="C63" i="16" s="1"/>
  <c r="C69" i="22"/>
  <c r="D45" i="22"/>
  <c r="D35" i="18"/>
  <c r="D36" i="18" s="1"/>
  <c r="E59" i="16"/>
  <c r="E38" i="16"/>
  <c r="U71" i="27" s="1"/>
  <c r="F41" i="22"/>
  <c r="F48" i="22" s="1"/>
  <c r="F49" i="22" s="1"/>
  <c r="F50" i="22" s="1"/>
  <c r="F42" i="22"/>
  <c r="F54" i="22" s="1"/>
  <c r="F55" i="22" s="1"/>
  <c r="F56" i="22" s="1"/>
  <c r="D62" i="22"/>
  <c r="D63" i="22" s="1"/>
  <c r="D67" i="22" s="1"/>
  <c r="AG173" i="27" s="1"/>
  <c r="AG175" i="27" s="1"/>
  <c r="D66" i="22"/>
  <c r="G58" i="18"/>
  <c r="G185" i="27"/>
  <c r="F187" i="27"/>
  <c r="B47" i="18"/>
  <c r="B42" i="18"/>
  <c r="F60" i="22"/>
  <c r="F61" i="22" s="1"/>
  <c r="E35" i="18"/>
  <c r="E36" i="18" s="1"/>
  <c r="G74" i="22"/>
  <c r="G40" i="22"/>
  <c r="G43" i="22"/>
  <c r="G44" i="22" s="1"/>
  <c r="S74" i="27"/>
  <c r="S76" i="27" s="1"/>
  <c r="B61" i="16"/>
  <c r="B62" i="16" s="1"/>
  <c r="B63" i="16" s="1"/>
  <c r="O80" i="11" s="1"/>
  <c r="O86" i="11" s="1"/>
  <c r="B66" i="16"/>
  <c r="L556" i="1"/>
  <c r="N556" i="1" s="1"/>
  <c r="R40" i="27"/>
  <c r="S38" i="27"/>
  <c r="L356" i="1"/>
  <c r="E482" i="1"/>
  <c r="G446" i="1"/>
  <c r="K28" i="1" s="1"/>
  <c r="K22" i="1"/>
  <c r="I401" i="1"/>
  <c r="I437" i="1" s="1"/>
  <c r="J401" i="1"/>
  <c r="J437" i="1" s="1"/>
  <c r="K401" i="1"/>
  <c r="K437" i="1" s="1"/>
  <c r="G437" i="1"/>
  <c r="H401" i="1"/>
  <c r="L347" i="1"/>
  <c r="I66" i="11"/>
  <c r="H70" i="11"/>
  <c r="N278" i="1"/>
  <c r="L302" i="1"/>
  <c r="G30" i="1"/>
  <c r="N548" i="1"/>
  <c r="F558" i="1"/>
  <c r="G557" i="1"/>
  <c r="E43" i="25" s="1"/>
  <c r="G43" i="25" s="1"/>
  <c r="J43" i="6"/>
  <c r="I10" i="8"/>
  <c r="I11" i="8" s="1"/>
  <c r="G12" i="6"/>
  <c r="H42" i="6"/>
  <c r="H45" i="6" s="1"/>
  <c r="H21" i="6"/>
  <c r="H22" i="6" s="1"/>
  <c r="I48" i="6"/>
  <c r="I50" i="6" s="1"/>
  <c r="L7" i="2"/>
  <c r="H62" i="25" s="1"/>
  <c r="H64" i="25" s="1"/>
  <c r="M4" i="2"/>
  <c r="F62" i="7"/>
  <c r="F33" i="14"/>
  <c r="H71" i="11"/>
  <c r="F36" i="16" l="1"/>
  <c r="C81" i="22"/>
  <c r="AF173" i="27"/>
  <c r="AF175" i="27" s="1"/>
  <c r="N59" i="19"/>
  <c r="N60" i="19" s="1"/>
  <c r="N61" i="19" s="1"/>
  <c r="O56" i="19"/>
  <c r="BH43" i="19"/>
  <c r="BH46" i="19"/>
  <c r="BH50" i="19" s="1"/>
  <c r="BA46" i="19"/>
  <c r="BA50" i="19" s="1"/>
  <c r="BA43" i="19"/>
  <c r="BD46" i="19"/>
  <c r="BD50" i="19" s="1"/>
  <c r="BD43" i="19"/>
  <c r="B71" i="19"/>
  <c r="Q3" i="27" s="1"/>
  <c r="N63" i="19"/>
  <c r="N65" i="19"/>
  <c r="AZ46" i="19"/>
  <c r="AZ50" i="19" s="1"/>
  <c r="AZ43" i="19"/>
  <c r="BI46" i="19"/>
  <c r="BI50" i="19" s="1"/>
  <c r="BI43" i="19"/>
  <c r="BB46" i="19"/>
  <c r="BB50" i="19" s="1"/>
  <c r="BB43" i="19"/>
  <c r="BC46" i="19"/>
  <c r="BC50" i="19" s="1"/>
  <c r="BC43" i="19"/>
  <c r="BF46" i="19"/>
  <c r="BF50" i="19" s="1"/>
  <c r="BF43" i="19"/>
  <c r="BG46" i="19"/>
  <c r="BG50" i="19" s="1"/>
  <c r="BG43" i="19"/>
  <c r="BE46" i="19"/>
  <c r="BE50" i="19" s="1"/>
  <c r="BE43" i="19"/>
  <c r="AX46" i="19"/>
  <c r="AX50" i="19" s="1"/>
  <c r="AX43" i="19"/>
  <c r="C71" i="19"/>
  <c r="R3" i="27" s="1"/>
  <c r="R5" i="27" s="1"/>
  <c r="O63" i="19"/>
  <c r="O65" i="19"/>
  <c r="AY46" i="19"/>
  <c r="AY50" i="19" s="1"/>
  <c r="AY43" i="19"/>
  <c r="Q51" i="19"/>
  <c r="P54" i="19"/>
  <c r="P55" i="19" s="1"/>
  <c r="P62" i="19" s="1"/>
  <c r="C76" i="22"/>
  <c r="C77" i="22" s="1"/>
  <c r="C78" i="22" s="1"/>
  <c r="AD83" i="11" s="1"/>
  <c r="B82" i="22"/>
  <c r="B83" i="22" s="1"/>
  <c r="AD179" i="27" s="1"/>
  <c r="AD181" i="27" s="1"/>
  <c r="AB60" i="11"/>
  <c r="AB71" i="11" s="1"/>
  <c r="AE176" i="27"/>
  <c r="AE178" i="27" s="1"/>
  <c r="AD176" i="27"/>
  <c r="AD178" i="27" s="1"/>
  <c r="G47" i="27"/>
  <c r="G49" i="27" s="1"/>
  <c r="C60" i="31"/>
  <c r="C61" i="31" s="1"/>
  <c r="C53" i="31"/>
  <c r="C65" i="31"/>
  <c r="C72" i="31"/>
  <c r="E43" i="31"/>
  <c r="E40" i="31"/>
  <c r="E44" i="31"/>
  <c r="E42" i="31"/>
  <c r="E41" i="31"/>
  <c r="E45" i="31"/>
  <c r="I57" i="31"/>
  <c r="G36" i="31"/>
  <c r="F37" i="31"/>
  <c r="H57" i="18"/>
  <c r="D46" i="31"/>
  <c r="D49" i="31" s="1"/>
  <c r="D52" i="31" s="1"/>
  <c r="B66" i="31"/>
  <c r="B71" i="31" s="1"/>
  <c r="B73" i="31" s="1"/>
  <c r="B74" i="31" s="1"/>
  <c r="B62" i="31"/>
  <c r="Q85" i="11" s="1"/>
  <c r="Q62" i="11"/>
  <c r="G58" i="31"/>
  <c r="K47" i="27"/>
  <c r="K49" i="27" s="1"/>
  <c r="J47" i="27"/>
  <c r="J49" i="27" s="1"/>
  <c r="H74" i="11"/>
  <c r="E47" i="27"/>
  <c r="E49" i="27" s="1"/>
  <c r="D74" i="11"/>
  <c r="D75" i="11" s="1"/>
  <c r="H47" i="27"/>
  <c r="H49" i="27" s="1"/>
  <c r="F74" i="11"/>
  <c r="F75" i="11" s="1"/>
  <c r="E11" i="2"/>
  <c r="E22" i="2" s="1"/>
  <c r="I72" i="29"/>
  <c r="T84" i="11"/>
  <c r="U84" i="11"/>
  <c r="G35" i="17" a="1"/>
  <c r="G35" i="17" s="1"/>
  <c r="J73" i="22"/>
  <c r="H57" i="17"/>
  <c r="J71" i="29"/>
  <c r="K71" i="29" s="1"/>
  <c r="P80" i="11"/>
  <c r="Q80" i="11"/>
  <c r="G45" i="29"/>
  <c r="G49" i="29" s="1"/>
  <c r="G53" i="29" s="1"/>
  <c r="G58" i="29"/>
  <c r="G59" i="29" s="1"/>
  <c r="G44" i="29"/>
  <c r="G48" i="29" s="1"/>
  <c r="G52" i="29" s="1"/>
  <c r="AH170" i="27"/>
  <c r="Q77" i="27"/>
  <c r="Q79" i="27" s="1"/>
  <c r="R77" i="27"/>
  <c r="R79" i="27" s="1"/>
  <c r="H43" i="29"/>
  <c r="H47" i="29" s="1"/>
  <c r="H51" i="29" s="1"/>
  <c r="H45" i="29"/>
  <c r="H49" i="29" s="1"/>
  <c r="H53" i="29" s="1"/>
  <c r="I42" i="29"/>
  <c r="I58" i="29" s="1"/>
  <c r="G43" i="29"/>
  <c r="G47" i="29" s="1"/>
  <c r="G51" i="29" s="1"/>
  <c r="AG170" i="27"/>
  <c r="H44" i="29"/>
  <c r="H48" i="29" s="1"/>
  <c r="H52" i="29" s="1"/>
  <c r="H58" i="29"/>
  <c r="H60" i="29" s="1"/>
  <c r="D62" i="29"/>
  <c r="D63" i="29" s="1"/>
  <c r="D66" i="29" s="1"/>
  <c r="C86" i="29"/>
  <c r="C79" i="29"/>
  <c r="C67" i="29"/>
  <c r="F51" i="29"/>
  <c r="F54" i="29" s="1"/>
  <c r="F46" i="29"/>
  <c r="B87" i="29"/>
  <c r="B88" i="29" s="1"/>
  <c r="B81" i="29"/>
  <c r="B82" i="29" s="1"/>
  <c r="D55" i="29"/>
  <c r="D74" i="29" s="1"/>
  <c r="D75" i="29" s="1"/>
  <c r="D76" i="29" s="1"/>
  <c r="V84" i="11" s="1"/>
  <c r="E61" i="29"/>
  <c r="E59" i="29"/>
  <c r="E60" i="29"/>
  <c r="C80" i="29"/>
  <c r="C85" i="29" s="1"/>
  <c r="P61" i="11"/>
  <c r="P72" i="11" s="1"/>
  <c r="E51" i="29"/>
  <c r="E54" i="29" s="1"/>
  <c r="E46" i="29"/>
  <c r="F40" i="17"/>
  <c r="F41" i="17"/>
  <c r="F39" i="17"/>
  <c r="F60" i="29"/>
  <c r="F61" i="29"/>
  <c r="F59" i="29"/>
  <c r="O72" i="11"/>
  <c r="F51" i="22"/>
  <c r="F35" i="18"/>
  <c r="F36" i="18" s="1"/>
  <c r="G34" i="18" s="1"/>
  <c r="G35" i="18" s="1"/>
  <c r="G36" i="18" s="1"/>
  <c r="F57" i="22"/>
  <c r="G58" i="17"/>
  <c r="G38" i="17"/>
  <c r="B67" i="16"/>
  <c r="O57" i="11" s="1"/>
  <c r="O68" i="11" s="1"/>
  <c r="S77" i="27"/>
  <c r="S79" i="27" s="1"/>
  <c r="G42" i="22"/>
  <c r="G54" i="22" s="1"/>
  <c r="G55" i="22" s="1"/>
  <c r="G56" i="22" s="1"/>
  <c r="G41" i="22"/>
  <c r="G48" i="22" s="1"/>
  <c r="G49" i="22" s="1"/>
  <c r="G50" i="22" s="1"/>
  <c r="D68" i="22"/>
  <c r="D76" i="22"/>
  <c r="D77" i="22" s="1"/>
  <c r="AE60" i="11" s="1"/>
  <c r="AE71" i="11" s="1"/>
  <c r="D69" i="22"/>
  <c r="D81" i="22"/>
  <c r="F62" i="22"/>
  <c r="F66" i="22"/>
  <c r="AI170" i="27" s="1"/>
  <c r="F59" i="16"/>
  <c r="F38" i="16"/>
  <c r="V71" i="27" s="1"/>
  <c r="C88" i="22"/>
  <c r="H60" i="22"/>
  <c r="H61" i="22" s="1"/>
  <c r="B73" i="16"/>
  <c r="G60" i="22"/>
  <c r="G61" i="22" s="1"/>
  <c r="C40" i="18"/>
  <c r="B48" i="18"/>
  <c r="B49" i="18" s="1"/>
  <c r="B52" i="18" s="1"/>
  <c r="B43" i="18"/>
  <c r="E50" i="16"/>
  <c r="E52" i="16"/>
  <c r="E49" i="16"/>
  <c r="E51" i="16"/>
  <c r="AF176" i="27"/>
  <c r="AF178" i="27" s="1"/>
  <c r="C82" i="22"/>
  <c r="C87" i="22" s="1"/>
  <c r="AD60" i="11"/>
  <c r="AD71" i="11" s="1"/>
  <c r="G3" i="3"/>
  <c r="G5" i="3" s="1"/>
  <c r="I182" i="27"/>
  <c r="I184" i="27" s="1"/>
  <c r="F45" i="22"/>
  <c r="G187" i="27"/>
  <c r="H185" i="27"/>
  <c r="I74" i="22"/>
  <c r="I43" i="22"/>
  <c r="I44" i="22" s="1"/>
  <c r="C67" i="16"/>
  <c r="P57" i="11" s="1"/>
  <c r="P68" i="11" s="1"/>
  <c r="D53" i="16"/>
  <c r="T74" i="27" s="1"/>
  <c r="T76" i="27" s="1"/>
  <c r="E63" i="22"/>
  <c r="E67" i="22" s="1"/>
  <c r="AH173" i="27" s="1"/>
  <c r="AH175" i="27" s="1"/>
  <c r="H42" i="22"/>
  <c r="H54" i="22" s="1"/>
  <c r="H55" i="22" s="1"/>
  <c r="H56" i="22" s="1"/>
  <c r="H41" i="22"/>
  <c r="H48" i="22" s="1"/>
  <c r="H49" i="22" s="1"/>
  <c r="H50" i="22" s="1"/>
  <c r="T38" i="27"/>
  <c r="S40" i="27"/>
  <c r="L401" i="1"/>
  <c r="H437" i="1"/>
  <c r="E527" i="1"/>
  <c r="G491" i="1"/>
  <c r="L28" i="1" s="1"/>
  <c r="L22" i="1"/>
  <c r="L25" i="1" s="1"/>
  <c r="I446" i="1"/>
  <c r="I482" i="1" s="1"/>
  <c r="K446" i="1"/>
  <c r="K482" i="1" s="1"/>
  <c r="G482" i="1"/>
  <c r="H446" i="1"/>
  <c r="H482" i="1" s="1"/>
  <c r="J446" i="1"/>
  <c r="J482" i="1" s="1"/>
  <c r="K25" i="1"/>
  <c r="L392" i="1"/>
  <c r="G75" i="11"/>
  <c r="I70" i="11"/>
  <c r="M7" i="2"/>
  <c r="I62" i="25" s="1"/>
  <c r="I64" i="25" s="1"/>
  <c r="G558" i="1"/>
  <c r="E44" i="25" s="1"/>
  <c r="G44" i="25" s="1"/>
  <c r="F572" i="1"/>
  <c r="L557" i="1"/>
  <c r="F33" i="7"/>
  <c r="G60" i="7"/>
  <c r="I21" i="6"/>
  <c r="I22" i="6" s="1"/>
  <c r="J48" i="6"/>
  <c r="J50" i="6" s="1"/>
  <c r="J66" i="11"/>
  <c r="K43" i="6"/>
  <c r="J10" i="8"/>
  <c r="J11" i="8" s="1"/>
  <c r="I71" i="11"/>
  <c r="F63" i="7"/>
  <c r="H12" i="6"/>
  <c r="I42" i="6"/>
  <c r="I45" i="6" s="1"/>
  <c r="D71" i="19" l="1"/>
  <c r="S3" i="27" s="1"/>
  <c r="S5" i="27" s="1"/>
  <c r="P63" i="19"/>
  <c r="P65" i="19"/>
  <c r="R51" i="19"/>
  <c r="Q54" i="19"/>
  <c r="Q55" i="19" s="1"/>
  <c r="Q62" i="19" s="1"/>
  <c r="O59" i="19"/>
  <c r="O60" i="19" s="1"/>
  <c r="O61" i="19" s="1"/>
  <c r="P56" i="19"/>
  <c r="R10" i="27"/>
  <c r="R9" i="27"/>
  <c r="Q5" i="27"/>
  <c r="Q6" i="27"/>
  <c r="N67" i="19"/>
  <c r="B73" i="19" s="1"/>
  <c r="B72" i="19"/>
  <c r="B95" i="19" s="1"/>
  <c r="N92" i="19" s="1"/>
  <c r="B87" i="22"/>
  <c r="B89" i="22" s="1"/>
  <c r="B90" i="22" s="1"/>
  <c r="H58" i="16"/>
  <c r="G36" i="16"/>
  <c r="G38" i="16" s="1"/>
  <c r="W71" i="27" s="1"/>
  <c r="H34" i="18"/>
  <c r="E46" i="31"/>
  <c r="E49" i="31" s="1"/>
  <c r="E52" i="31" s="1"/>
  <c r="B67" i="31"/>
  <c r="B68" i="31" s="1"/>
  <c r="C66" i="31"/>
  <c r="C71" i="31" s="1"/>
  <c r="C73" i="31" s="1"/>
  <c r="C74" i="31" s="1"/>
  <c r="C62" i="31"/>
  <c r="S62" i="11"/>
  <c r="S73" i="11" s="1"/>
  <c r="R62" i="11"/>
  <c r="R73" i="11" s="1"/>
  <c r="H58" i="18"/>
  <c r="D72" i="31"/>
  <c r="D60" i="31"/>
  <c r="D61" i="31" s="1"/>
  <c r="D53" i="31"/>
  <c r="D65" i="31"/>
  <c r="T51" i="11"/>
  <c r="F41" i="31"/>
  <c r="F45" i="31"/>
  <c r="F42" i="31"/>
  <c r="F44" i="31"/>
  <c r="F43" i="31"/>
  <c r="F40" i="31"/>
  <c r="I58" i="31"/>
  <c r="J57" i="31"/>
  <c r="I57" i="18"/>
  <c r="Q73" i="11"/>
  <c r="H36" i="31"/>
  <c r="G37" i="31"/>
  <c r="I74" i="11"/>
  <c r="L47" i="27"/>
  <c r="L49" i="27" s="1"/>
  <c r="G51" i="22"/>
  <c r="H51" i="22" s="1"/>
  <c r="F11" i="2"/>
  <c r="F22" i="2" s="1"/>
  <c r="B22" i="2"/>
  <c r="H35" i="17" a="1"/>
  <c r="H35" i="17" s="1"/>
  <c r="L71" i="29"/>
  <c r="M71" i="29" s="1"/>
  <c r="N71" i="29" s="1"/>
  <c r="O71" i="29" s="1"/>
  <c r="G61" i="29"/>
  <c r="J72" i="29"/>
  <c r="I57" i="17"/>
  <c r="I38" i="17" s="1"/>
  <c r="K73" i="22"/>
  <c r="L73" i="22" s="1"/>
  <c r="G60" i="29"/>
  <c r="H54" i="29"/>
  <c r="H55" i="29" s="1"/>
  <c r="H74" i="29" s="1"/>
  <c r="H75" i="29" s="1"/>
  <c r="H76" i="29" s="1"/>
  <c r="Z84" i="11" s="1"/>
  <c r="H46" i="29"/>
  <c r="H59" i="29"/>
  <c r="G54" i="29"/>
  <c r="G55" i="29" s="1"/>
  <c r="G74" i="29" s="1"/>
  <c r="G75" i="29" s="1"/>
  <c r="G76" i="29" s="1"/>
  <c r="Y84" i="11" s="1"/>
  <c r="H61" i="29"/>
  <c r="I45" i="29"/>
  <c r="I49" i="29" s="1"/>
  <c r="I53" i="29" s="1"/>
  <c r="I43" i="29"/>
  <c r="I47" i="29" s="1"/>
  <c r="I51" i="29" s="1"/>
  <c r="C87" i="29"/>
  <c r="C88" i="29" s="1"/>
  <c r="AG176" i="27"/>
  <c r="AG178" i="27" s="1"/>
  <c r="D78" i="22"/>
  <c r="AE83" i="11" s="1"/>
  <c r="G46" i="29"/>
  <c r="J42" i="29"/>
  <c r="J45" i="29" s="1"/>
  <c r="J49" i="29" s="1"/>
  <c r="J53" i="29" s="1"/>
  <c r="I44" i="29"/>
  <c r="I48" i="29" s="1"/>
  <c r="I52" i="29" s="1"/>
  <c r="C89" i="22"/>
  <c r="E62" i="29"/>
  <c r="E63" i="29" s="1"/>
  <c r="E66" i="29" s="1"/>
  <c r="H35" i="18"/>
  <c r="H36" i="18" s="1"/>
  <c r="I34" i="18" s="1"/>
  <c r="I35" i="18" s="1"/>
  <c r="I36" i="18" s="1"/>
  <c r="F62" i="29"/>
  <c r="F63" i="29" s="1"/>
  <c r="F66" i="29" s="1"/>
  <c r="K72" i="29"/>
  <c r="C81" i="29"/>
  <c r="C82" i="29" s="1"/>
  <c r="E55" i="29"/>
  <c r="E74" i="29" s="1"/>
  <c r="E75" i="29" s="1"/>
  <c r="E76" i="29" s="1"/>
  <c r="W84" i="11" s="1"/>
  <c r="F55" i="29"/>
  <c r="F74" i="29" s="1"/>
  <c r="F75" i="29" s="1"/>
  <c r="F76" i="29" s="1"/>
  <c r="X84" i="11" s="1"/>
  <c r="G41" i="17"/>
  <c r="G39" i="17"/>
  <c r="G40" i="17"/>
  <c r="D80" i="29"/>
  <c r="D85" i="29" s="1"/>
  <c r="Q61" i="11"/>
  <c r="D86" i="29"/>
  <c r="D67" i="29"/>
  <c r="D79" i="29"/>
  <c r="I61" i="29"/>
  <c r="I59" i="29"/>
  <c r="I60" i="29"/>
  <c r="G57" i="22"/>
  <c r="H57" i="22" s="1"/>
  <c r="C68" i="16"/>
  <c r="R80" i="27" s="1"/>
  <c r="R82" i="27" s="1"/>
  <c r="C72" i="16"/>
  <c r="C74" i="16" s="1"/>
  <c r="B84" i="22"/>
  <c r="AE179" i="27"/>
  <c r="AE181" i="27" s="1"/>
  <c r="C46" i="18"/>
  <c r="C41" i="18"/>
  <c r="H62" i="22"/>
  <c r="H66" i="22"/>
  <c r="D88" i="22"/>
  <c r="Q57" i="11"/>
  <c r="B72" i="16"/>
  <c r="B74" i="16" s="1"/>
  <c r="B75" i="16" s="1"/>
  <c r="H3" i="3"/>
  <c r="H5" i="3" s="1"/>
  <c r="J182" i="27"/>
  <c r="J184" i="27" s="1"/>
  <c r="L446" i="1"/>
  <c r="L482" i="1" s="1"/>
  <c r="D61" i="16"/>
  <c r="D62" i="16" s="1"/>
  <c r="D63" i="16" s="1"/>
  <c r="R80" i="11" s="1"/>
  <c r="D66" i="16"/>
  <c r="I185" i="27"/>
  <c r="H187" i="27"/>
  <c r="G45" i="22"/>
  <c r="H45" i="22"/>
  <c r="C83" i="22"/>
  <c r="E68" i="22"/>
  <c r="E76" i="22"/>
  <c r="E77" i="22" s="1"/>
  <c r="E69" i="22"/>
  <c r="E81" i="22"/>
  <c r="J74" i="22"/>
  <c r="J43" i="22"/>
  <c r="J44" i="22" s="1"/>
  <c r="I60" i="22"/>
  <c r="I61" i="22" s="1"/>
  <c r="G59" i="16"/>
  <c r="W137" i="27"/>
  <c r="V137" i="27"/>
  <c r="G62" i="22"/>
  <c r="G66" i="22"/>
  <c r="F63" i="22"/>
  <c r="F67" i="22" s="1"/>
  <c r="AI173" i="27" s="1"/>
  <c r="AI175" i="27" s="1"/>
  <c r="D82" i="22"/>
  <c r="D87" i="22" s="1"/>
  <c r="E53" i="16"/>
  <c r="U74" i="27" s="1"/>
  <c r="U76" i="27" s="1"/>
  <c r="B60" i="18"/>
  <c r="B61" i="18" s="1"/>
  <c r="B62" i="18" s="1"/>
  <c r="W140" i="27"/>
  <c r="W142" i="27" s="1"/>
  <c r="V140" i="27"/>
  <c r="V142" i="27" s="1"/>
  <c r="B53" i="18"/>
  <c r="B65" i="18"/>
  <c r="B68" i="16"/>
  <c r="Q80" i="27" s="1"/>
  <c r="Q82" i="27" s="1"/>
  <c r="H58" i="17"/>
  <c r="H38" i="17"/>
  <c r="F52" i="16"/>
  <c r="F51" i="16"/>
  <c r="F49" i="16"/>
  <c r="F50" i="16"/>
  <c r="L558" i="1"/>
  <c r="N558" i="1" s="1"/>
  <c r="D10" i="1"/>
  <c r="E58" i="25" s="1"/>
  <c r="G58" i="25" s="1"/>
  <c r="T40" i="27"/>
  <c r="U38" i="27"/>
  <c r="E572" i="1"/>
  <c r="M22" i="1"/>
  <c r="M25" i="1" s="1"/>
  <c r="N25" i="1" s="1"/>
  <c r="G536" i="1"/>
  <c r="M28" i="1" s="1"/>
  <c r="I491" i="1"/>
  <c r="I527" i="1" s="1"/>
  <c r="J491" i="1"/>
  <c r="J527" i="1" s="1"/>
  <c r="H491" i="1"/>
  <c r="H527" i="1" s="1"/>
  <c r="K491" i="1"/>
  <c r="K527" i="1" s="1"/>
  <c r="G527" i="1"/>
  <c r="L437" i="1"/>
  <c r="H75" i="11"/>
  <c r="K66" i="11"/>
  <c r="J70" i="11"/>
  <c r="N557" i="1"/>
  <c r="J71" i="11"/>
  <c r="I12" i="6"/>
  <c r="J42" i="6"/>
  <c r="J45" i="6" s="1"/>
  <c r="J21" i="6"/>
  <c r="J22" i="6" s="1"/>
  <c r="K48" i="6"/>
  <c r="K50" i="6" s="1"/>
  <c r="G62" i="7"/>
  <c r="G33" i="7" s="1"/>
  <c r="G33" i="14"/>
  <c r="L43" i="6"/>
  <c r="K10" i="8"/>
  <c r="K11" i="8" s="1"/>
  <c r="I58" i="16" l="1"/>
  <c r="H36" i="16"/>
  <c r="H38" i="16" s="1"/>
  <c r="C90" i="22"/>
  <c r="R6" i="27"/>
  <c r="Q8" i="27"/>
  <c r="P59" i="19"/>
  <c r="P60" i="19" s="1"/>
  <c r="P61" i="19" s="1"/>
  <c r="Q56" i="19"/>
  <c r="Q9" i="27"/>
  <c r="Q10" i="27"/>
  <c r="O67" i="19"/>
  <c r="C73" i="19" s="1"/>
  <c r="C72" i="19"/>
  <c r="C95" i="19" s="1"/>
  <c r="O92" i="19" s="1"/>
  <c r="E71" i="19"/>
  <c r="T3" i="27" s="1"/>
  <c r="T5" i="27" s="1"/>
  <c r="Q63" i="19"/>
  <c r="Q65" i="19"/>
  <c r="S10" i="27"/>
  <c r="S9" i="27"/>
  <c r="S51" i="19"/>
  <c r="R54" i="19"/>
  <c r="R55" i="19" s="1"/>
  <c r="R62" i="19" s="1"/>
  <c r="J57" i="18"/>
  <c r="C67" i="31"/>
  <c r="C68" i="31" s="1"/>
  <c r="G41" i="31"/>
  <c r="G42" i="31"/>
  <c r="G43" i="31"/>
  <c r="G40" i="31"/>
  <c r="G45" i="31"/>
  <c r="G44" i="31"/>
  <c r="F46" i="31"/>
  <c r="F49" i="31" s="1"/>
  <c r="F52" i="31" s="1"/>
  <c r="H37" i="31"/>
  <c r="I36" i="31"/>
  <c r="D66" i="31"/>
  <c r="D71" i="31" s="1"/>
  <c r="D73" i="31" s="1"/>
  <c r="D74" i="31" s="1"/>
  <c r="D62" i="31"/>
  <c r="T85" i="11" s="1"/>
  <c r="T62" i="11"/>
  <c r="T73" i="11" s="1"/>
  <c r="I58" i="18"/>
  <c r="J58" i="31"/>
  <c r="K57" i="31"/>
  <c r="S85" i="11"/>
  <c r="R85" i="11"/>
  <c r="E72" i="31"/>
  <c r="E65" i="31"/>
  <c r="E60" i="31"/>
  <c r="E61" i="31" s="1"/>
  <c r="E53" i="31"/>
  <c r="U51" i="11"/>
  <c r="K57" i="18"/>
  <c r="J74" i="11"/>
  <c r="M47" i="27"/>
  <c r="M49" i="27" s="1"/>
  <c r="M30" i="1"/>
  <c r="N30" i="1" s="1"/>
  <c r="P71" i="29"/>
  <c r="Q71" i="29" s="1"/>
  <c r="R71" i="29" s="1"/>
  <c r="S71" i="29" s="1"/>
  <c r="T71" i="29" s="1"/>
  <c r="U71" i="29" s="1"/>
  <c r="V71" i="29" s="1"/>
  <c r="W71" i="29" s="1"/>
  <c r="X71" i="29" s="1"/>
  <c r="Y71" i="29" s="1"/>
  <c r="Z71" i="29" s="1"/>
  <c r="AA71" i="29" s="1"/>
  <c r="AB71" i="29" s="1"/>
  <c r="AC71" i="29" s="1"/>
  <c r="AD71" i="29" s="1"/>
  <c r="AE71" i="29" s="1"/>
  <c r="AF71" i="29" s="1"/>
  <c r="AG71" i="29" s="1"/>
  <c r="AH71" i="29" s="1"/>
  <c r="AI71" i="29" s="1"/>
  <c r="AJ71" i="29" s="1"/>
  <c r="AK71" i="29" s="1"/>
  <c r="AL71" i="29" s="1"/>
  <c r="AM71" i="29" s="1"/>
  <c r="AN71" i="29" s="1"/>
  <c r="AO71" i="29" s="1"/>
  <c r="AP71" i="29" s="1"/>
  <c r="AQ71" i="29" s="1"/>
  <c r="AR71" i="29" s="1"/>
  <c r="AS71" i="29" s="1"/>
  <c r="AT71" i="29" s="1"/>
  <c r="AU71" i="29" s="1"/>
  <c r="AV71" i="29" s="1"/>
  <c r="AW71" i="29" s="1"/>
  <c r="AX71" i="29" s="1"/>
  <c r="AY71" i="29" s="1"/>
  <c r="AZ71" i="29" s="1"/>
  <c r="BA71" i="29" s="1"/>
  <c r="BB71" i="29" s="1"/>
  <c r="BC71" i="29" s="1"/>
  <c r="BD71" i="29" s="1"/>
  <c r="G62" i="29"/>
  <c r="G63" i="29" s="1"/>
  <c r="G66" i="29" s="1"/>
  <c r="I35" i="17" a="1"/>
  <c r="I35" i="17" s="1"/>
  <c r="I39" i="17" s="1"/>
  <c r="C96" i="11"/>
  <c r="B20" i="2"/>
  <c r="B23" i="2" s="1"/>
  <c r="M73" i="22"/>
  <c r="N73" i="22" s="1"/>
  <c r="J57" i="17"/>
  <c r="K57" i="17" s="1"/>
  <c r="L57" i="17" s="1"/>
  <c r="M57" i="17" s="1"/>
  <c r="N57" i="17" s="1"/>
  <c r="AB82" i="11"/>
  <c r="AC82" i="11"/>
  <c r="H62" i="29"/>
  <c r="H63" i="29" s="1"/>
  <c r="H66" i="29" s="1"/>
  <c r="I54" i="29"/>
  <c r="I55" i="29" s="1"/>
  <c r="I74" i="29" s="1"/>
  <c r="I75" i="29" s="1"/>
  <c r="I76" i="29" s="1"/>
  <c r="AA84" i="11" s="1"/>
  <c r="I46" i="29"/>
  <c r="J43" i="29"/>
  <c r="J47" i="29" s="1"/>
  <c r="J51" i="29" s="1"/>
  <c r="J58" i="29"/>
  <c r="J59" i="29" s="1"/>
  <c r="AH176" i="27"/>
  <c r="AH178" i="27" s="1"/>
  <c r="E78" i="22"/>
  <c r="AF83" i="11" s="1"/>
  <c r="I58" i="17"/>
  <c r="T77" i="27"/>
  <c r="T79" i="27" s="1"/>
  <c r="AF60" i="11"/>
  <c r="D89" i="22"/>
  <c r="D90" i="22" s="1"/>
  <c r="AK170" i="27"/>
  <c r="J44" i="29"/>
  <c r="J48" i="29" s="1"/>
  <c r="J52" i="29" s="1"/>
  <c r="K42" i="29"/>
  <c r="K58" i="29" s="1"/>
  <c r="AJ170" i="27"/>
  <c r="D87" i="29"/>
  <c r="D88" i="29" s="1"/>
  <c r="I62" i="29"/>
  <c r="I63" i="29" s="1"/>
  <c r="D81" i="29"/>
  <c r="D82" i="29" s="1"/>
  <c r="N72" i="29"/>
  <c r="H41" i="17"/>
  <c r="H39" i="17"/>
  <c r="H40" i="17"/>
  <c r="F86" i="29"/>
  <c r="F67" i="29"/>
  <c r="F79" i="29"/>
  <c r="U50" i="11"/>
  <c r="F80" i="29"/>
  <c r="F85" i="29" s="1"/>
  <c r="S61" i="11"/>
  <c r="S72" i="11" s="1"/>
  <c r="Q72" i="11"/>
  <c r="E80" i="29"/>
  <c r="E85" i="29" s="1"/>
  <c r="R61" i="11"/>
  <c r="R72" i="11" s="1"/>
  <c r="H80" i="29"/>
  <c r="H85" i="29" s="1"/>
  <c r="U61" i="11"/>
  <c r="E86" i="29"/>
  <c r="E79" i="29"/>
  <c r="E67" i="29"/>
  <c r="M72" i="29"/>
  <c r="L72" i="29"/>
  <c r="G80" i="29"/>
  <c r="G85" i="29" s="1"/>
  <c r="T61" i="11"/>
  <c r="T72" i="11" s="1"/>
  <c r="D9" i="1"/>
  <c r="E57" i="25" s="1"/>
  <c r="G57" i="25" s="1"/>
  <c r="E22" i="25"/>
  <c r="G22" i="25" s="1"/>
  <c r="H59" i="16"/>
  <c r="B69" i="16"/>
  <c r="S80" i="27"/>
  <c r="S82" i="27" s="1"/>
  <c r="I62" i="22"/>
  <c r="J60" i="22"/>
  <c r="J61" i="22" s="1"/>
  <c r="D73" i="16"/>
  <c r="T46" i="11"/>
  <c r="Q68" i="11"/>
  <c r="G572" i="1"/>
  <c r="B72" i="18"/>
  <c r="F68" i="22"/>
  <c r="F76" i="22"/>
  <c r="F77" i="22" s="1"/>
  <c r="F69" i="22"/>
  <c r="F81" i="22"/>
  <c r="G50" i="16"/>
  <c r="G49" i="16"/>
  <c r="G52" i="16"/>
  <c r="G51" i="16"/>
  <c r="K74" i="22"/>
  <c r="K43" i="22"/>
  <c r="K44" i="22" s="1"/>
  <c r="E82" i="22"/>
  <c r="E87" i="22" s="1"/>
  <c r="D83" i="22"/>
  <c r="AG179" i="27" s="1"/>
  <c r="AG181" i="27" s="1"/>
  <c r="C75" i="16"/>
  <c r="B66" i="18"/>
  <c r="B67" i="18" s="1"/>
  <c r="W143" i="27"/>
  <c r="W145" i="27" s="1"/>
  <c r="V143" i="27"/>
  <c r="V145" i="27" s="1"/>
  <c r="I3" i="3"/>
  <c r="I5" i="3" s="1"/>
  <c r="K182" i="27"/>
  <c r="K184" i="27" s="1"/>
  <c r="G63" i="22"/>
  <c r="G67" i="22" s="1"/>
  <c r="AJ173" i="27" s="1"/>
  <c r="AJ175" i="27" s="1"/>
  <c r="C84" i="22"/>
  <c r="AF179" i="27"/>
  <c r="AF181" i="27" s="1"/>
  <c r="D67" i="16"/>
  <c r="C69" i="16"/>
  <c r="F53" i="16"/>
  <c r="V74" i="27" s="1"/>
  <c r="V76" i="27" s="1"/>
  <c r="E61" i="16"/>
  <c r="E62" i="16" s="1"/>
  <c r="E63" i="16" s="1"/>
  <c r="S80" i="11" s="1"/>
  <c r="E66" i="16"/>
  <c r="E88" i="22"/>
  <c r="J185" i="27"/>
  <c r="I187" i="27"/>
  <c r="C47" i="18"/>
  <c r="C42" i="18"/>
  <c r="U40" i="27"/>
  <c r="V38" i="27"/>
  <c r="N22" i="1"/>
  <c r="B9" i="2" s="1"/>
  <c r="L491" i="1"/>
  <c r="H536" i="1"/>
  <c r="H572" i="1" s="1"/>
  <c r="J536" i="1"/>
  <c r="J572" i="1" s="1"/>
  <c r="I536" i="1"/>
  <c r="I572" i="1" s="1"/>
  <c r="K536" i="1"/>
  <c r="K572" i="1" s="1"/>
  <c r="I75" i="11"/>
  <c r="K70" i="11"/>
  <c r="M43" i="6"/>
  <c r="L10" i="8"/>
  <c r="L11" i="8" s="1"/>
  <c r="L66" i="11"/>
  <c r="J12" i="6"/>
  <c r="K42" i="6"/>
  <c r="K45" i="6" s="1"/>
  <c r="K71" i="11"/>
  <c r="G63" i="7"/>
  <c r="K21" i="6"/>
  <c r="K22" i="6" s="1"/>
  <c r="L48" i="6"/>
  <c r="L50" i="6" s="1"/>
  <c r="H39" i="16" l="1"/>
  <c r="H40" i="16" s="1"/>
  <c r="Q59" i="19"/>
  <c r="Q60" i="19" s="1"/>
  <c r="Q61" i="19" s="1"/>
  <c r="R56" i="19"/>
  <c r="F71" i="19"/>
  <c r="U3" i="27" s="1"/>
  <c r="U5" i="27" s="1"/>
  <c r="R63" i="19"/>
  <c r="R65" i="19"/>
  <c r="T51" i="19"/>
  <c r="S54" i="19"/>
  <c r="S55" i="19" s="1"/>
  <c r="S62" i="19" s="1"/>
  <c r="D72" i="19"/>
  <c r="D95" i="19" s="1"/>
  <c r="P92" i="19" s="1"/>
  <c r="P67" i="19"/>
  <c r="D73" i="19" s="1"/>
  <c r="T10" i="27"/>
  <c r="T9" i="27"/>
  <c r="R8" i="27"/>
  <c r="S6" i="27"/>
  <c r="J58" i="16"/>
  <c r="J58" i="18"/>
  <c r="J34" i="18"/>
  <c r="J35" i="18" s="1"/>
  <c r="J36" i="18" s="1"/>
  <c r="K34" i="18" s="1"/>
  <c r="L57" i="18"/>
  <c r="L58" i="18" s="1"/>
  <c r="K58" i="18"/>
  <c r="D67" i="31"/>
  <c r="D68" i="31" s="1"/>
  <c r="J36" i="31"/>
  <c r="I37" i="31"/>
  <c r="E66" i="31"/>
  <c r="E71" i="31" s="1"/>
  <c r="E73" i="31" s="1"/>
  <c r="E74" i="31" s="1"/>
  <c r="E62" i="31"/>
  <c r="U85" i="11" s="1"/>
  <c r="U62" i="11"/>
  <c r="K58" i="31"/>
  <c r="L57" i="31"/>
  <c r="H43" i="31"/>
  <c r="H44" i="31"/>
  <c r="H40" i="31"/>
  <c r="H41" i="31"/>
  <c r="H42" i="31"/>
  <c r="H45" i="31"/>
  <c r="G46" i="31"/>
  <c r="G49" i="31" s="1"/>
  <c r="G52" i="31" s="1"/>
  <c r="F53" i="31"/>
  <c r="F72" i="31"/>
  <c r="F60" i="31"/>
  <c r="F61" i="31" s="1"/>
  <c r="F65" i="31"/>
  <c r="V51" i="11"/>
  <c r="K74" i="11"/>
  <c r="N47" i="27"/>
  <c r="N49" i="27" s="1"/>
  <c r="I41" i="17"/>
  <c r="I40" i="17"/>
  <c r="G79" i="29"/>
  <c r="G81" i="29" s="1"/>
  <c r="G82" i="29" s="1"/>
  <c r="G86" i="29"/>
  <c r="G87" i="29" s="1"/>
  <c r="G67" i="29"/>
  <c r="H67" i="29"/>
  <c r="J58" i="17"/>
  <c r="H86" i="29"/>
  <c r="H87" i="29" s="1"/>
  <c r="O73" i="22"/>
  <c r="P73" i="22" s="1"/>
  <c r="Q73" i="22" s="1"/>
  <c r="R73" i="22" s="1"/>
  <c r="S73" i="22" s="1"/>
  <c r="T73" i="22" s="1"/>
  <c r="U73" i="22" s="1"/>
  <c r="V73" i="22" s="1"/>
  <c r="W73" i="22" s="1"/>
  <c r="X73" i="22" s="1"/>
  <c r="Y73" i="22" s="1"/>
  <c r="Z73" i="22" s="1"/>
  <c r="AA73" i="22" s="1"/>
  <c r="AB73" i="22" s="1"/>
  <c r="AC73" i="22" s="1"/>
  <c r="AD73" i="22" s="1"/>
  <c r="AE73" i="22" s="1"/>
  <c r="AF73" i="22" s="1"/>
  <c r="AG73" i="22" s="1"/>
  <c r="AH73" i="22" s="1"/>
  <c r="AI73" i="22" s="1"/>
  <c r="AJ73" i="22" s="1"/>
  <c r="AK73" i="22" s="1"/>
  <c r="AL73" i="22" s="1"/>
  <c r="AM73" i="22" s="1"/>
  <c r="AN73" i="22" s="1"/>
  <c r="AO73" i="22" s="1"/>
  <c r="AP73" i="22" s="1"/>
  <c r="AQ73" i="22" s="1"/>
  <c r="AR73" i="22" s="1"/>
  <c r="AS73" i="22" s="1"/>
  <c r="AT73" i="22" s="1"/>
  <c r="AU73" i="22" s="1"/>
  <c r="AV73" i="22" s="1"/>
  <c r="AW73" i="22" s="1"/>
  <c r="AX73" i="22" s="1"/>
  <c r="AY73" i="22" s="1"/>
  <c r="AZ73" i="22" s="1"/>
  <c r="BA73" i="22" s="1"/>
  <c r="BB73" i="22" s="1"/>
  <c r="BC73" i="22" s="1"/>
  <c r="BD73" i="22" s="1"/>
  <c r="J35" i="17" a="1"/>
  <c r="J35" i="17" s="1"/>
  <c r="K35" i="17" s="1" a="1"/>
  <c r="K35" i="17" s="1"/>
  <c r="B27" i="2"/>
  <c r="O57" i="17"/>
  <c r="P57" i="17" s="1"/>
  <c r="J61" i="29"/>
  <c r="H79" i="29"/>
  <c r="H81" i="29" s="1"/>
  <c r="H82" i="29" s="1"/>
  <c r="J54" i="29"/>
  <c r="J55" i="29" s="1"/>
  <c r="J74" i="29" s="1"/>
  <c r="J75" i="29" s="1"/>
  <c r="J76" i="29" s="1"/>
  <c r="AB84" i="11" s="1"/>
  <c r="L42" i="29"/>
  <c r="L58" i="29" s="1"/>
  <c r="I66" i="29"/>
  <c r="I67" i="29" s="1"/>
  <c r="F87" i="29"/>
  <c r="K43" i="29"/>
  <c r="K47" i="29" s="1"/>
  <c r="K51" i="29" s="1"/>
  <c r="K44" i="29"/>
  <c r="K48" i="29" s="1"/>
  <c r="K52" i="29" s="1"/>
  <c r="K45" i="29"/>
  <c r="K49" i="29" s="1"/>
  <c r="K53" i="29" s="1"/>
  <c r="J60" i="29"/>
  <c r="J46" i="29"/>
  <c r="AI176" i="27"/>
  <c r="AI178" i="27" s="1"/>
  <c r="F78" i="22"/>
  <c r="AG83" i="11" s="1"/>
  <c r="U77" i="27"/>
  <c r="U79" i="27" s="1"/>
  <c r="AF71" i="11"/>
  <c r="U72" i="11"/>
  <c r="AG60" i="11"/>
  <c r="AG71" i="11" s="1"/>
  <c r="E81" i="29"/>
  <c r="E82" i="29" s="1"/>
  <c r="D68" i="16"/>
  <c r="T80" i="27" s="1"/>
  <c r="T82" i="27" s="1"/>
  <c r="R57" i="11"/>
  <c r="R68" i="11" s="1"/>
  <c r="E87" i="29"/>
  <c r="E88" i="29" s="1"/>
  <c r="I80" i="29"/>
  <c r="I85" i="29" s="1"/>
  <c r="V61" i="11"/>
  <c r="K59" i="29"/>
  <c r="K60" i="29"/>
  <c r="K61" i="29"/>
  <c r="F81" i="29"/>
  <c r="F82" i="29" s="1"/>
  <c r="V50" i="11"/>
  <c r="O72" i="29"/>
  <c r="H63" i="22"/>
  <c r="H67" i="22" s="1"/>
  <c r="H76" i="22" s="1"/>
  <c r="H77" i="22" s="1"/>
  <c r="H78" i="22" s="1"/>
  <c r="AI83" i="11" s="1"/>
  <c r="B25" i="2"/>
  <c r="E83" i="22"/>
  <c r="E84" i="22" s="1"/>
  <c r="B68" i="18"/>
  <c r="V146" i="27"/>
  <c r="V148" i="27" s="1"/>
  <c r="W146" i="27"/>
  <c r="W148" i="27" s="1"/>
  <c r="K35" i="18"/>
  <c r="K36" i="18" s="1"/>
  <c r="I59" i="16"/>
  <c r="K60" i="22"/>
  <c r="K61" i="22" s="1"/>
  <c r="E67" i="16"/>
  <c r="D72" i="16"/>
  <c r="D74" i="16" s="1"/>
  <c r="D75" i="16" s="1"/>
  <c r="K58" i="17"/>
  <c r="F82" i="22"/>
  <c r="F87" i="22" s="1"/>
  <c r="J62" i="22"/>
  <c r="K185" i="27"/>
  <c r="J187" i="27"/>
  <c r="B71" i="18"/>
  <c r="B73" i="18" s="1"/>
  <c r="B74" i="18" s="1"/>
  <c r="T59" i="11"/>
  <c r="U59" i="11"/>
  <c r="U70" i="11" s="1"/>
  <c r="D84" i="22"/>
  <c r="E89" i="22"/>
  <c r="E90" i="22" s="1"/>
  <c r="J3" i="3"/>
  <c r="J5" i="3" s="1"/>
  <c r="L182" i="27"/>
  <c r="L184" i="27" s="1"/>
  <c r="C48" i="18"/>
  <c r="C49" i="18" s="1"/>
  <c r="C52" i="18" s="1"/>
  <c r="C43" i="18"/>
  <c r="X137" i="27" s="1"/>
  <c r="D40" i="18"/>
  <c r="E73" i="16"/>
  <c r="U46" i="11"/>
  <c r="F61" i="16"/>
  <c r="F62" i="16" s="1"/>
  <c r="F66" i="16"/>
  <c r="G68" i="22"/>
  <c r="G69" i="22"/>
  <c r="G76" i="22"/>
  <c r="G77" i="22" s="1"/>
  <c r="G81" i="22"/>
  <c r="M74" i="22"/>
  <c r="M43" i="22"/>
  <c r="M44" i="22" s="1"/>
  <c r="L74" i="22"/>
  <c r="L43" i="22"/>
  <c r="L44" i="22" s="1"/>
  <c r="G53" i="16"/>
  <c r="W74" i="27" s="1"/>
  <c r="W76" i="27" s="1"/>
  <c r="F88" i="22"/>
  <c r="V40" i="27"/>
  <c r="W38" i="27"/>
  <c r="L527" i="1"/>
  <c r="L536" i="1"/>
  <c r="C9" i="2"/>
  <c r="C20" i="2" s="1"/>
  <c r="B12" i="2"/>
  <c r="J75" i="11"/>
  <c r="L70" i="11"/>
  <c r="M66" i="11"/>
  <c r="I4" i="11"/>
  <c r="B4" i="11" s="1"/>
  <c r="I15" i="11"/>
  <c r="B17" i="11" s="1"/>
  <c r="L71" i="11"/>
  <c r="L21" i="6"/>
  <c r="L22" i="6" s="1"/>
  <c r="M48" i="6"/>
  <c r="M50" i="6" s="1"/>
  <c r="M10" i="8"/>
  <c r="M11" i="8" s="1"/>
  <c r="N43" i="6"/>
  <c r="L42" i="6"/>
  <c r="L45" i="6" s="1"/>
  <c r="K12" i="6"/>
  <c r="H45" i="16" l="1"/>
  <c r="H44" i="16"/>
  <c r="H46" i="16"/>
  <c r="H43" i="16"/>
  <c r="U51" i="19"/>
  <c r="T54" i="19"/>
  <c r="T55" i="19" s="1"/>
  <c r="T62" i="19" s="1"/>
  <c r="S8" i="27"/>
  <c r="T6" i="27"/>
  <c r="U10" i="27"/>
  <c r="U9" i="27"/>
  <c r="R59" i="19"/>
  <c r="R60" i="19" s="1"/>
  <c r="R61" i="19" s="1"/>
  <c r="S56" i="19"/>
  <c r="G71" i="19"/>
  <c r="V3" i="27" s="1"/>
  <c r="V5" i="27" s="1"/>
  <c r="S63" i="19"/>
  <c r="S65" i="19"/>
  <c r="Q67" i="19"/>
  <c r="E73" i="19" s="1"/>
  <c r="E72" i="19"/>
  <c r="E95" i="19" s="1"/>
  <c r="Q92" i="19" s="1"/>
  <c r="F63" i="16"/>
  <c r="T80" i="11" s="1"/>
  <c r="K58" i="16"/>
  <c r="L34" i="18"/>
  <c r="M57" i="18"/>
  <c r="M58" i="18" s="1"/>
  <c r="E67" i="31"/>
  <c r="E68" i="31" s="1"/>
  <c r="I40" i="31"/>
  <c r="I41" i="31"/>
  <c r="I42" i="31"/>
  <c r="I44" i="31"/>
  <c r="I45" i="31"/>
  <c r="I43" i="31"/>
  <c r="F66" i="31"/>
  <c r="F71" i="31" s="1"/>
  <c r="F73" i="31" s="1"/>
  <c r="F74" i="31" s="1"/>
  <c r="F62" i="31"/>
  <c r="V85" i="11" s="1"/>
  <c r="V62" i="11"/>
  <c r="V73" i="11" s="1"/>
  <c r="L58" i="31"/>
  <c r="M57" i="31"/>
  <c r="K36" i="31"/>
  <c r="J37" i="31"/>
  <c r="G60" i="31"/>
  <c r="G61" i="31" s="1"/>
  <c r="G65" i="31"/>
  <c r="G53" i="31"/>
  <c r="G72" i="31"/>
  <c r="W51" i="11"/>
  <c r="H46" i="31"/>
  <c r="H49" i="31" s="1"/>
  <c r="H52" i="31" s="1"/>
  <c r="U73" i="11"/>
  <c r="O47" i="27"/>
  <c r="O49" i="27" s="1"/>
  <c r="F88" i="29"/>
  <c r="G88" i="29" s="1"/>
  <c r="H88" i="29" s="1"/>
  <c r="Q57" i="17"/>
  <c r="R57" i="17" s="1"/>
  <c r="S57" i="17" s="1"/>
  <c r="T57" i="17" s="1"/>
  <c r="U57" i="17" s="1"/>
  <c r="V57" i="17" s="1"/>
  <c r="W57" i="17" s="1"/>
  <c r="X57" i="17" s="1"/>
  <c r="Y57" i="17" s="1"/>
  <c r="Z57" i="17" s="1"/>
  <c r="AA57" i="17" s="1"/>
  <c r="AB57" i="17" s="1"/>
  <c r="AC57" i="17" s="1"/>
  <c r="AD57" i="17" s="1"/>
  <c r="AE57" i="17" s="1"/>
  <c r="AF57" i="17" s="1"/>
  <c r="AG57" i="17" s="1"/>
  <c r="AH57" i="17" s="1"/>
  <c r="AI57" i="17" s="1"/>
  <c r="AJ57" i="17" s="1"/>
  <c r="AK57" i="17" s="1"/>
  <c r="AL57" i="17" s="1"/>
  <c r="AM57" i="17" s="1"/>
  <c r="AN57" i="17" s="1"/>
  <c r="AO57" i="17" s="1"/>
  <c r="AP57" i="17" s="1"/>
  <c r="AQ57" i="17" s="1"/>
  <c r="AR57" i="17" s="1"/>
  <c r="AS57" i="17" s="1"/>
  <c r="AT57" i="17" s="1"/>
  <c r="AU57" i="17" s="1"/>
  <c r="AV57" i="17" s="1"/>
  <c r="AW57" i="17" s="1"/>
  <c r="AX57" i="17" s="1"/>
  <c r="AY57" i="17" s="1"/>
  <c r="AZ57" i="17" s="1"/>
  <c r="BA57" i="17" s="1"/>
  <c r="BB57" i="17" s="1"/>
  <c r="BC57" i="17" s="1"/>
  <c r="BD57" i="17" s="1"/>
  <c r="J62" i="29"/>
  <c r="J63" i="29" s="1"/>
  <c r="J66" i="29" s="1"/>
  <c r="J79" i="29" s="1"/>
  <c r="L43" i="29"/>
  <c r="L47" i="29" s="1"/>
  <c r="L51" i="29" s="1"/>
  <c r="L44" i="29"/>
  <c r="L48" i="29" s="1"/>
  <c r="L52" i="29" s="1"/>
  <c r="I79" i="29"/>
  <c r="I81" i="29" s="1"/>
  <c r="I82" i="29" s="1"/>
  <c r="M42" i="29"/>
  <c r="M58" i="29" s="1"/>
  <c r="L45" i="29"/>
  <c r="L49" i="29" s="1"/>
  <c r="L53" i="29" s="1"/>
  <c r="I86" i="29"/>
  <c r="K46" i="29"/>
  <c r="K54" i="29"/>
  <c r="K55" i="29" s="1"/>
  <c r="K74" i="29" s="1"/>
  <c r="K75" i="29" s="1"/>
  <c r="K76" i="29" s="1"/>
  <c r="AC84" i="11" s="1"/>
  <c r="I63" i="22"/>
  <c r="AI49" i="11"/>
  <c r="AH60" i="11"/>
  <c r="AH71" i="11" s="1"/>
  <c r="G78" i="22"/>
  <c r="AH83" i="11" s="1"/>
  <c r="V77" i="27"/>
  <c r="V79" i="27" s="1"/>
  <c r="AK173" i="27"/>
  <c r="AK175" i="27" s="1"/>
  <c r="AH179" i="27"/>
  <c r="AH181" i="27" s="1"/>
  <c r="H69" i="22"/>
  <c r="D69" i="16"/>
  <c r="AJ176" i="27"/>
  <c r="AJ178" i="27" s="1"/>
  <c r="E68" i="16"/>
  <c r="U80" i="27" s="1"/>
  <c r="U82" i="27" s="1"/>
  <c r="S57" i="11"/>
  <c r="S68" i="11" s="1"/>
  <c r="I87" i="29"/>
  <c r="H81" i="22"/>
  <c r="H88" i="22" s="1"/>
  <c r="H68" i="22"/>
  <c r="W50" i="11"/>
  <c r="K62" i="29"/>
  <c r="K63" i="29" s="1"/>
  <c r="J80" i="29"/>
  <c r="J85" i="29" s="1"/>
  <c r="W61" i="11"/>
  <c r="L59" i="29"/>
  <c r="L60" i="29"/>
  <c r="L61" i="29"/>
  <c r="P72" i="29"/>
  <c r="V72" i="11"/>
  <c r="B26" i="2"/>
  <c r="B28" i="2" s="1"/>
  <c r="B29" i="2" s="1"/>
  <c r="L58" i="17"/>
  <c r="F89" i="22"/>
  <c r="F90" i="22" s="1"/>
  <c r="O74" i="22"/>
  <c r="O43" i="22"/>
  <c r="O44" i="22" s="1"/>
  <c r="M60" i="22"/>
  <c r="M61" i="22" s="1"/>
  <c r="J59" i="16"/>
  <c r="F83" i="22"/>
  <c r="AI179" i="27" s="1"/>
  <c r="AI181" i="27" s="1"/>
  <c r="G66" i="16"/>
  <c r="G61" i="16"/>
  <c r="G62" i="16" s="1"/>
  <c r="G63" i="16" s="1"/>
  <c r="U80" i="11" s="1"/>
  <c r="L60" i="22"/>
  <c r="L61" i="22" s="1"/>
  <c r="F73" i="16"/>
  <c r="X140" i="27"/>
  <c r="X142" i="27" s="1"/>
  <c r="C53" i="18"/>
  <c r="C65" i="18"/>
  <c r="C60" i="18"/>
  <c r="C61" i="18" s="1"/>
  <c r="C62" i="18" s="1"/>
  <c r="AD82" i="11" s="1"/>
  <c r="K3" i="3"/>
  <c r="K5" i="3" s="1"/>
  <c r="M182" i="27"/>
  <c r="M184" i="27" s="1"/>
  <c r="AK176" i="27"/>
  <c r="AK178" i="27" s="1"/>
  <c r="G82" i="22"/>
  <c r="G87" i="22" s="1"/>
  <c r="AI60" i="11"/>
  <c r="H82" i="22"/>
  <c r="H87" i="22" s="1"/>
  <c r="F67" i="16"/>
  <c r="D46" i="18"/>
  <c r="D41" i="18"/>
  <c r="T70" i="11"/>
  <c r="K62" i="22"/>
  <c r="L35" i="18"/>
  <c r="L36" i="18" s="1"/>
  <c r="G88" i="22"/>
  <c r="L185" i="27"/>
  <c r="K187" i="27"/>
  <c r="N74" i="22"/>
  <c r="N43" i="22"/>
  <c r="N44" i="22" s="1"/>
  <c r="E72" i="16"/>
  <c r="E74" i="16" s="1"/>
  <c r="E75" i="16" s="1"/>
  <c r="W40" i="27"/>
  <c r="X38" i="27"/>
  <c r="C12" i="2"/>
  <c r="D9" i="2"/>
  <c r="L572" i="1"/>
  <c r="Q182" i="27"/>
  <c r="Q184" i="27" s="1"/>
  <c r="K75" i="11"/>
  <c r="I30" i="11"/>
  <c r="R41" i="27"/>
  <c r="R43" i="27" s="1"/>
  <c r="M70" i="11"/>
  <c r="I14" i="11"/>
  <c r="M71" i="11"/>
  <c r="M42" i="6"/>
  <c r="M45" i="6" s="1"/>
  <c r="L12" i="6"/>
  <c r="N48" i="6"/>
  <c r="N50" i="6" s="1"/>
  <c r="N21" i="6" s="1"/>
  <c r="N22" i="6" s="1"/>
  <c r="M21" i="6"/>
  <c r="M22" i="6" s="1"/>
  <c r="N10" i="8"/>
  <c r="C55" i="7"/>
  <c r="I25" i="11"/>
  <c r="R67" i="19" l="1"/>
  <c r="F73" i="19" s="1"/>
  <c r="F72" i="19"/>
  <c r="F95" i="19" s="1"/>
  <c r="R92" i="19" s="1"/>
  <c r="H71" i="19"/>
  <c r="W3" i="27" s="1"/>
  <c r="W5" i="27" s="1"/>
  <c r="T63" i="19"/>
  <c r="T65" i="19"/>
  <c r="V10" i="27"/>
  <c r="V9" i="27"/>
  <c r="V51" i="19"/>
  <c r="U54" i="19"/>
  <c r="U55" i="19" s="1"/>
  <c r="U62" i="19" s="1"/>
  <c r="S59" i="19"/>
  <c r="S60" i="19" s="1"/>
  <c r="S61" i="19" s="1"/>
  <c r="T56" i="19"/>
  <c r="T8" i="27"/>
  <c r="U6" i="27"/>
  <c r="L58" i="16"/>
  <c r="M34" i="18"/>
  <c r="M35" i="18" s="1"/>
  <c r="N57" i="18"/>
  <c r="F67" i="31"/>
  <c r="F68" i="31" s="1"/>
  <c r="K37" i="31"/>
  <c r="L36" i="31"/>
  <c r="I46" i="31"/>
  <c r="I49" i="31" s="1"/>
  <c r="I52" i="31" s="1"/>
  <c r="X51" i="11"/>
  <c r="H72" i="31"/>
  <c r="H60" i="31"/>
  <c r="H61" i="31" s="1"/>
  <c r="H65" i="31"/>
  <c r="H53" i="31"/>
  <c r="J45" i="31"/>
  <c r="J42" i="31"/>
  <c r="J43" i="31"/>
  <c r="J40" i="31"/>
  <c r="J44" i="31"/>
  <c r="J41" i="31"/>
  <c r="O57" i="18"/>
  <c r="P57" i="18" s="1"/>
  <c r="P58" i="18" s="1"/>
  <c r="N58" i="18"/>
  <c r="G62" i="31"/>
  <c r="W85" i="11" s="1"/>
  <c r="G66" i="31"/>
  <c r="G71" i="31" s="1"/>
  <c r="G73" i="31" s="1"/>
  <c r="G74" i="31" s="1"/>
  <c r="W62" i="11"/>
  <c r="M58" i="31"/>
  <c r="N57" i="31"/>
  <c r="J67" i="29"/>
  <c r="L35" i="17" a="1"/>
  <c r="L35" i="17" s="1"/>
  <c r="M35" i="17" s="1" a="1"/>
  <c r="M35" i="17" s="1"/>
  <c r="J86" i="29"/>
  <c r="J87" i="29" s="1"/>
  <c r="C20" i="4"/>
  <c r="C22" i="4" s="1"/>
  <c r="N42" i="29"/>
  <c r="N45" i="29" s="1"/>
  <c r="N49" i="29" s="1"/>
  <c r="N53" i="29" s="1"/>
  <c r="M44" i="29"/>
  <c r="M48" i="29" s="1"/>
  <c r="M52" i="29" s="1"/>
  <c r="M43" i="29"/>
  <c r="M47" i="29" s="1"/>
  <c r="M51" i="29" s="1"/>
  <c r="M45" i="29"/>
  <c r="M49" i="29" s="1"/>
  <c r="M53" i="29" s="1"/>
  <c r="L54" i="29"/>
  <c r="L55" i="29" s="1"/>
  <c r="L74" i="29" s="1"/>
  <c r="L75" i="29" s="1"/>
  <c r="L76" i="29" s="1"/>
  <c r="AD84" i="11" s="1"/>
  <c r="L46" i="29"/>
  <c r="I88" i="29"/>
  <c r="K66" i="29"/>
  <c r="K67" i="29" s="1"/>
  <c r="AI71" i="11"/>
  <c r="J63" i="22"/>
  <c r="M58" i="17"/>
  <c r="W77" i="27"/>
  <c r="W79" i="27" s="1"/>
  <c r="E69" i="16"/>
  <c r="F68" i="16"/>
  <c r="V80" i="27" s="1"/>
  <c r="V82" i="27" s="1"/>
  <c r="T57" i="11"/>
  <c r="T68" i="11" s="1"/>
  <c r="L62" i="29"/>
  <c r="L63" i="29" s="1"/>
  <c r="X50" i="11"/>
  <c r="W72" i="11"/>
  <c r="J81" i="29"/>
  <c r="J82" i="29" s="1"/>
  <c r="K80" i="29"/>
  <c r="K85" i="29" s="1"/>
  <c r="X61" i="11"/>
  <c r="Q72" i="29"/>
  <c r="M61" i="29"/>
  <c r="M59" i="29"/>
  <c r="M60" i="29"/>
  <c r="H89" i="22"/>
  <c r="N58" i="17"/>
  <c r="G83" i="22"/>
  <c r="G84" i="22" s="1"/>
  <c r="M36" i="18"/>
  <c r="N34" i="18" s="1"/>
  <c r="N35" i="18" s="1"/>
  <c r="C72" i="18"/>
  <c r="L3" i="3"/>
  <c r="N182" i="27"/>
  <c r="N184" i="27" s="1"/>
  <c r="N60" i="22"/>
  <c r="N61" i="22" s="1"/>
  <c r="M185" i="27"/>
  <c r="L187" i="27"/>
  <c r="L62" i="22"/>
  <c r="M62" i="22"/>
  <c r="F72" i="16"/>
  <c r="F74" i="16" s="1"/>
  <c r="F75" i="16" s="1"/>
  <c r="H83" i="22"/>
  <c r="G67" i="16"/>
  <c r="F84" i="22"/>
  <c r="P74" i="22"/>
  <c r="P43" i="22"/>
  <c r="P44" i="22" s="1"/>
  <c r="D47" i="18"/>
  <c r="D42" i="18"/>
  <c r="G89" i="22"/>
  <c r="G90" i="22" s="1"/>
  <c r="C66" i="18"/>
  <c r="X143" i="27"/>
  <c r="X145" i="27" s="1"/>
  <c r="G73" i="16"/>
  <c r="K59" i="16"/>
  <c r="O60" i="22"/>
  <c r="O61" i="22" s="1"/>
  <c r="Y38" i="27"/>
  <c r="X40" i="27"/>
  <c r="C23" i="2"/>
  <c r="C27" i="2"/>
  <c r="D12" i="2"/>
  <c r="E9" i="2"/>
  <c r="D20" i="2"/>
  <c r="I5" i="11"/>
  <c r="O55" i="11"/>
  <c r="N66" i="11"/>
  <c r="N70" i="11"/>
  <c r="I24" i="11"/>
  <c r="I26" i="11" s="1"/>
  <c r="B30" i="11" s="1"/>
  <c r="I16" i="11"/>
  <c r="B28" i="11" s="1"/>
  <c r="B6" i="11"/>
  <c r="C7" i="7"/>
  <c r="C57" i="7"/>
  <c r="N11" i="8"/>
  <c r="O10" i="8"/>
  <c r="O11" i="8" s="1"/>
  <c r="I19" i="11"/>
  <c r="N42" i="6"/>
  <c r="N45" i="6" s="1"/>
  <c r="N12" i="6" s="1"/>
  <c r="M12" i="6"/>
  <c r="S67" i="19" l="1"/>
  <c r="G73" i="19" s="1"/>
  <c r="G72" i="19"/>
  <c r="G95" i="19" s="1"/>
  <c r="S92" i="19" s="1"/>
  <c r="W51" i="19"/>
  <c r="V54" i="19"/>
  <c r="V55" i="19" s="1"/>
  <c r="V62" i="19" s="1"/>
  <c r="U8" i="27"/>
  <c r="V6" i="27"/>
  <c r="W10" i="27"/>
  <c r="W9" i="27"/>
  <c r="T59" i="19"/>
  <c r="T60" i="19" s="1"/>
  <c r="T61" i="19" s="1"/>
  <c r="U56" i="19"/>
  <c r="I71" i="19"/>
  <c r="X3" i="27" s="1"/>
  <c r="X5" i="27" s="1"/>
  <c r="U63" i="19"/>
  <c r="U65" i="19"/>
  <c r="M58" i="16"/>
  <c r="W73" i="11"/>
  <c r="I60" i="31"/>
  <c r="I61" i="31" s="1"/>
  <c r="I72" i="31"/>
  <c r="Y51" i="11"/>
  <c r="I65" i="31"/>
  <c r="I53" i="31"/>
  <c r="J46" i="31"/>
  <c r="J49" i="31" s="1"/>
  <c r="J52" i="31" s="1"/>
  <c r="H62" i="31"/>
  <c r="X85" i="11" s="1"/>
  <c r="H66" i="31"/>
  <c r="H71" i="31" s="1"/>
  <c r="H73" i="31" s="1"/>
  <c r="H74" i="31" s="1"/>
  <c r="X62" i="11"/>
  <c r="X73" i="11" s="1"/>
  <c r="M36" i="31"/>
  <c r="L37" i="31"/>
  <c r="Q57" i="18"/>
  <c r="N58" i="31"/>
  <c r="O57" i="31"/>
  <c r="O58" i="18"/>
  <c r="G67" i="31"/>
  <c r="G68" i="31" s="1"/>
  <c r="K40" i="31"/>
  <c r="K45" i="31"/>
  <c r="K42" i="31"/>
  <c r="K43" i="31"/>
  <c r="K44" i="31"/>
  <c r="K41" i="31"/>
  <c r="P47" i="27"/>
  <c r="P49" i="27" s="1"/>
  <c r="Q44" i="27"/>
  <c r="Q46" i="27" s="1"/>
  <c r="N58" i="29"/>
  <c r="N59" i="29" s="1"/>
  <c r="M46" i="29"/>
  <c r="N43" i="29"/>
  <c r="N47" i="29" s="1"/>
  <c r="N51" i="29" s="1"/>
  <c r="N44" i="29"/>
  <c r="N48" i="29" s="1"/>
  <c r="N52" i="29" s="1"/>
  <c r="O42" i="29"/>
  <c r="P42" i="29" s="1"/>
  <c r="M54" i="29"/>
  <c r="M55" i="29" s="1"/>
  <c r="M74" i="29" s="1"/>
  <c r="M75" i="29" s="1"/>
  <c r="M76" i="29" s="1"/>
  <c r="AE84" i="11" s="1"/>
  <c r="J88" i="29"/>
  <c r="L66" i="29"/>
  <c r="L67" i="29" s="1"/>
  <c r="K79" i="29"/>
  <c r="K81" i="29" s="1"/>
  <c r="K82" i="29" s="1"/>
  <c r="K86" i="29"/>
  <c r="K87" i="29" s="1"/>
  <c r="K63" i="22"/>
  <c r="N35" i="17" a="1"/>
  <c r="N35" i="17" s="1"/>
  <c r="F69" i="16"/>
  <c r="AJ179" i="27"/>
  <c r="AJ181" i="27" s="1"/>
  <c r="X72" i="11"/>
  <c r="G68" i="16"/>
  <c r="W80" i="27" s="1"/>
  <c r="W82" i="27" s="1"/>
  <c r="U57" i="11"/>
  <c r="U68" i="11" s="1"/>
  <c r="M62" i="29"/>
  <c r="M63" i="29" s="1"/>
  <c r="R72" i="29"/>
  <c r="L86" i="29"/>
  <c r="Y50" i="11"/>
  <c r="L80" i="29"/>
  <c r="L85" i="29" s="1"/>
  <c r="Y61" i="11"/>
  <c r="H90" i="22"/>
  <c r="AK179" i="27"/>
  <c r="AK181" i="27" s="1"/>
  <c r="O58" i="17"/>
  <c r="N36" i="18"/>
  <c r="O34" i="18" s="1"/>
  <c r="O35" i="18" s="1"/>
  <c r="O62" i="22"/>
  <c r="V59" i="11"/>
  <c r="C71" i="18"/>
  <c r="C73" i="18" s="1"/>
  <c r="C74" i="18" s="1"/>
  <c r="Q74" i="22"/>
  <c r="Q43" i="22"/>
  <c r="Q44" i="22" s="1"/>
  <c r="N62" i="22"/>
  <c r="C67" i="18"/>
  <c r="Q58" i="18"/>
  <c r="P60" i="22"/>
  <c r="P61" i="22" s="1"/>
  <c r="H84" i="22"/>
  <c r="M3" i="3"/>
  <c r="O182" i="27"/>
  <c r="O184" i="27" s="1"/>
  <c r="L59" i="16"/>
  <c r="N185" i="27"/>
  <c r="M187" i="27"/>
  <c r="D48" i="18"/>
  <c r="D49" i="18" s="1"/>
  <c r="D52" i="18" s="1"/>
  <c r="E40" i="18"/>
  <c r="D43" i="18"/>
  <c r="Y137" i="27" s="1"/>
  <c r="G72" i="16"/>
  <c r="G74" i="16" s="1"/>
  <c r="G75" i="16" s="1"/>
  <c r="Y40" i="27"/>
  <c r="Z38" i="27"/>
  <c r="F9" i="2"/>
  <c r="E12" i="2"/>
  <c r="E20" i="2"/>
  <c r="D27" i="2"/>
  <c r="D23" i="2"/>
  <c r="C25" i="2"/>
  <c r="C26" i="2"/>
  <c r="T41" i="27"/>
  <c r="T43" i="27" s="1"/>
  <c r="S41" i="27"/>
  <c r="S43" i="27" s="1"/>
  <c r="I6" i="11"/>
  <c r="B26" i="11" s="1"/>
  <c r="B15" i="11"/>
  <c r="I29" i="11"/>
  <c r="N71" i="11"/>
  <c r="P55" i="11"/>
  <c r="O66" i="11"/>
  <c r="B7" i="11"/>
  <c r="D54" i="7"/>
  <c r="C23" i="7"/>
  <c r="D7" i="7"/>
  <c r="C11" i="9"/>
  <c r="C12" i="9" s="1"/>
  <c r="T67" i="19" l="1"/>
  <c r="H73" i="19" s="1"/>
  <c r="H72" i="19"/>
  <c r="H95" i="19" s="1"/>
  <c r="T92" i="19" s="1"/>
  <c r="V8" i="27"/>
  <c r="W6" i="27"/>
  <c r="X51" i="19"/>
  <c r="W54" i="19"/>
  <c r="W55" i="19" s="1"/>
  <c r="W62" i="19" s="1"/>
  <c r="X10" i="27"/>
  <c r="X9" i="27"/>
  <c r="U59" i="19"/>
  <c r="U60" i="19" s="1"/>
  <c r="U61" i="19" s="1"/>
  <c r="V56" i="19"/>
  <c r="J71" i="19"/>
  <c r="Y3" i="27" s="1"/>
  <c r="Y5" i="27" s="1"/>
  <c r="V63" i="19"/>
  <c r="V65" i="19"/>
  <c r="N58" i="16"/>
  <c r="O58" i="31"/>
  <c r="P57" i="31"/>
  <c r="L44" i="31"/>
  <c r="L40" i="31"/>
  <c r="L41" i="31"/>
  <c r="L42" i="31"/>
  <c r="L45" i="31"/>
  <c r="L43" i="31"/>
  <c r="N36" i="31"/>
  <c r="M37" i="31"/>
  <c r="N60" i="29"/>
  <c r="K46" i="31"/>
  <c r="K49" i="31" s="1"/>
  <c r="K52" i="31" s="1"/>
  <c r="R57" i="18"/>
  <c r="H67" i="31"/>
  <c r="H68" i="31" s="1"/>
  <c r="J65" i="31"/>
  <c r="J60" i="31"/>
  <c r="J61" i="31" s="1"/>
  <c r="J53" i="31"/>
  <c r="Z51" i="11"/>
  <c r="C11" i="11" s="1"/>
  <c r="J39" i="11" s="1"/>
  <c r="J72" i="31"/>
  <c r="I62" i="31"/>
  <c r="Y85" i="11" s="1"/>
  <c r="I66" i="31"/>
  <c r="I71" i="31" s="1"/>
  <c r="I73" i="31" s="1"/>
  <c r="I74" i="31" s="1"/>
  <c r="Y62" i="11"/>
  <c r="B12" i="11"/>
  <c r="I15" i="2" s="1"/>
  <c r="E65" i="25" s="1"/>
  <c r="E67" i="25" s="1"/>
  <c r="Q47" i="27"/>
  <c r="Q49" i="27" s="1"/>
  <c r="R44" i="27"/>
  <c r="R46" i="27" s="1"/>
  <c r="N61" i="29"/>
  <c r="M66" i="29"/>
  <c r="M67" i="29" s="1"/>
  <c r="L63" i="22"/>
  <c r="C28" i="2"/>
  <c r="C29" i="2" s="1"/>
  <c r="Y72" i="11"/>
  <c r="O44" i="29"/>
  <c r="O48" i="29" s="1"/>
  <c r="O52" i="29" s="1"/>
  <c r="O43" i="29"/>
  <c r="O47" i="29" s="1"/>
  <c r="O51" i="29" s="1"/>
  <c r="N54" i="29"/>
  <c r="N55" i="29" s="1"/>
  <c r="N74" i="29" s="1"/>
  <c r="N75" i="29" s="1"/>
  <c r="N76" i="29" s="1"/>
  <c r="AF84" i="11" s="1"/>
  <c r="O58" i="29"/>
  <c r="O59" i="29" s="1"/>
  <c r="O45" i="29"/>
  <c r="O49" i="29" s="1"/>
  <c r="O53" i="29" s="1"/>
  <c r="N46" i="29"/>
  <c r="L79" i="29"/>
  <c r="L81" i="29" s="1"/>
  <c r="L82" i="29" s="1"/>
  <c r="L87" i="29"/>
  <c r="K88" i="29"/>
  <c r="O35" i="17" a="1"/>
  <c r="O35" i="17" s="1"/>
  <c r="K11" i="11"/>
  <c r="G69" i="16"/>
  <c r="Z50" i="11"/>
  <c r="J34" i="11" s="1"/>
  <c r="P58" i="29"/>
  <c r="Q42" i="29"/>
  <c r="P44" i="29"/>
  <c r="P48" i="29" s="1"/>
  <c r="P52" i="29" s="1"/>
  <c r="P43" i="29"/>
  <c r="P47" i="29" s="1"/>
  <c r="P45" i="29"/>
  <c r="P49" i="29" s="1"/>
  <c r="P53" i="29" s="1"/>
  <c r="M80" i="29"/>
  <c r="M85" i="29" s="1"/>
  <c r="Z61" i="11"/>
  <c r="S72" i="29"/>
  <c r="Q58" i="17"/>
  <c r="P58" i="17"/>
  <c r="C68" i="18"/>
  <c r="X146" i="27"/>
  <c r="X148" i="27" s="1"/>
  <c r="R74" i="22"/>
  <c r="R43" i="22"/>
  <c r="R44" i="22" s="1"/>
  <c r="O185" i="27"/>
  <c r="N187" i="27"/>
  <c r="M59" i="16"/>
  <c r="P62" i="22"/>
  <c r="R58" i="18"/>
  <c r="Q60" i="22"/>
  <c r="Q61" i="22" s="1"/>
  <c r="V70" i="11"/>
  <c r="Y140" i="27"/>
  <c r="Y142" i="27" s="1"/>
  <c r="D65" i="18"/>
  <c r="D53" i="18"/>
  <c r="D60" i="18"/>
  <c r="D61" i="18" s="1"/>
  <c r="D62" i="18" s="1"/>
  <c r="AE82" i="11" s="1"/>
  <c r="O36" i="18"/>
  <c r="P34" i="18" s="1"/>
  <c r="P35" i="18" s="1"/>
  <c r="N3" i="3"/>
  <c r="O3" i="3" s="1"/>
  <c r="P182" i="27"/>
  <c r="P184" i="27" s="1"/>
  <c r="E46" i="18"/>
  <c r="E41" i="18"/>
  <c r="Z40" i="27"/>
  <c r="AA38" i="27"/>
  <c r="E23" i="2"/>
  <c r="E27" i="2"/>
  <c r="D26" i="2"/>
  <c r="D25" i="2"/>
  <c r="F20" i="2"/>
  <c r="F12" i="2"/>
  <c r="U41" i="27"/>
  <c r="U43" i="27" s="1"/>
  <c r="I31" i="11"/>
  <c r="B31" i="11" s="1"/>
  <c r="Q55" i="11"/>
  <c r="P66" i="11"/>
  <c r="V41" i="27"/>
  <c r="V43" i="27" s="1"/>
  <c r="D20" i="14"/>
  <c r="E7" i="7"/>
  <c r="D55" i="7"/>
  <c r="D11" i="9"/>
  <c r="D12" i="9" s="1"/>
  <c r="V59" i="19" l="1"/>
  <c r="V60" i="19" s="1"/>
  <c r="V61" i="19" s="1"/>
  <c r="W56" i="19"/>
  <c r="U67" i="19"/>
  <c r="I73" i="19" s="1"/>
  <c r="I72" i="19"/>
  <c r="I95" i="19" s="1"/>
  <c r="U92" i="19" s="1"/>
  <c r="I36" i="16" s="1"/>
  <c r="I38" i="16" s="1"/>
  <c r="I39" i="16" s="1"/>
  <c r="I40" i="16" s="1"/>
  <c r="K71" i="19"/>
  <c r="Z3" i="27" s="1"/>
  <c r="Z5" i="27" s="1"/>
  <c r="W63" i="19"/>
  <c r="W65" i="19"/>
  <c r="X71" i="27"/>
  <c r="H50" i="16"/>
  <c r="H49" i="16"/>
  <c r="H51" i="16"/>
  <c r="H52" i="16"/>
  <c r="Y51" i="19"/>
  <c r="X54" i="19"/>
  <c r="X55" i="19" s="1"/>
  <c r="X62" i="19" s="1"/>
  <c r="Y9" i="27"/>
  <c r="Y10" i="27"/>
  <c r="W8" i="27"/>
  <c r="X6" i="27"/>
  <c r="O58" i="16"/>
  <c r="N62" i="29"/>
  <c r="N63" i="29" s="1"/>
  <c r="I67" i="31"/>
  <c r="I68" i="31" s="1"/>
  <c r="J62" i="31"/>
  <c r="Z85" i="11" s="1"/>
  <c r="C97" i="11" s="1"/>
  <c r="J66" i="31"/>
  <c r="J71" i="31" s="1"/>
  <c r="J73" i="31" s="1"/>
  <c r="J74" i="31" s="1"/>
  <c r="Z62" i="11"/>
  <c r="Z73" i="11" s="1"/>
  <c r="M43" i="31"/>
  <c r="M41" i="31"/>
  <c r="M44" i="31"/>
  <c r="M45" i="31"/>
  <c r="M42" i="31"/>
  <c r="M40" i="31"/>
  <c r="P58" i="31"/>
  <c r="Q57" i="31"/>
  <c r="S57" i="18"/>
  <c r="O36" i="31"/>
  <c r="N37" i="31"/>
  <c r="Y73" i="11"/>
  <c r="AA51" i="11"/>
  <c r="K60" i="31"/>
  <c r="K61" i="31" s="1"/>
  <c r="K65" i="31"/>
  <c r="K72" i="31"/>
  <c r="K53" i="31"/>
  <c r="L46" i="31"/>
  <c r="L49" i="31" s="1"/>
  <c r="L52" i="31" s="1"/>
  <c r="R47" i="27"/>
  <c r="R49" i="27" s="1"/>
  <c r="S44" i="27"/>
  <c r="S46" i="27" s="1"/>
  <c r="M86" i="29"/>
  <c r="M79" i="29"/>
  <c r="M63" i="22"/>
  <c r="O61" i="29"/>
  <c r="O54" i="29"/>
  <c r="O55" i="29" s="1"/>
  <c r="O74" i="29" s="1"/>
  <c r="O75" i="29" s="1"/>
  <c r="O76" i="29" s="1"/>
  <c r="AG84" i="11" s="1"/>
  <c r="D28" i="2"/>
  <c r="D29" i="2" s="1"/>
  <c r="O60" i="29"/>
  <c r="O46" i="29"/>
  <c r="L88" i="29"/>
  <c r="N66" i="29"/>
  <c r="N67" i="29" s="1"/>
  <c r="P35" i="17" a="1"/>
  <c r="P35" i="17" s="1"/>
  <c r="Q35" i="17" s="1" a="1"/>
  <c r="Q35" i="17" s="1"/>
  <c r="D20" i="4"/>
  <c r="R58" i="17"/>
  <c r="AA50" i="11"/>
  <c r="P51" i="29"/>
  <c r="P54" i="29" s="1"/>
  <c r="P46" i="29"/>
  <c r="C10" i="11"/>
  <c r="N80" i="29"/>
  <c r="AA61" i="11"/>
  <c r="Z72" i="11"/>
  <c r="J35" i="11"/>
  <c r="C21" i="11" s="1"/>
  <c r="T72" i="29"/>
  <c r="P61" i="29"/>
  <c r="P59" i="29"/>
  <c r="P60" i="29"/>
  <c r="N85" i="29"/>
  <c r="M87" i="29"/>
  <c r="Q58" i="29"/>
  <c r="Q45" i="29"/>
  <c r="Q49" i="29" s="1"/>
  <c r="Q53" i="29" s="1"/>
  <c r="R42" i="29"/>
  <c r="Q44" i="29"/>
  <c r="Q48" i="29" s="1"/>
  <c r="Q52" i="29" s="1"/>
  <c r="Q43" i="29"/>
  <c r="Q47" i="29" s="1"/>
  <c r="M81" i="29"/>
  <c r="M82" i="29" s="1"/>
  <c r="P36" i="18"/>
  <c r="Q34" i="18" s="1"/>
  <c r="Q35" i="18" s="1"/>
  <c r="D72" i="18"/>
  <c r="R60" i="22"/>
  <c r="R61" i="22" s="1"/>
  <c r="P185" i="27"/>
  <c r="O187" i="27"/>
  <c r="N59" i="16"/>
  <c r="E47" i="18"/>
  <c r="E42" i="18"/>
  <c r="D66" i="18"/>
  <c r="Y143" i="27"/>
  <c r="Y145" i="27" s="1"/>
  <c r="Q62" i="22"/>
  <c r="S58" i="17"/>
  <c r="S74" i="22"/>
  <c r="S43" i="22"/>
  <c r="S44" i="22" s="1"/>
  <c r="AA40" i="27"/>
  <c r="AB38" i="27"/>
  <c r="F27" i="2"/>
  <c r="F23" i="2"/>
  <c r="E26" i="2"/>
  <c r="E25" i="2"/>
  <c r="C4" i="4"/>
  <c r="C21" i="10" s="1"/>
  <c r="I20" i="2"/>
  <c r="I21" i="2"/>
  <c r="I19" i="2"/>
  <c r="I22" i="2"/>
  <c r="I18" i="2"/>
  <c r="Q66" i="11"/>
  <c r="R55" i="11"/>
  <c r="W41" i="27"/>
  <c r="W43" i="27" s="1"/>
  <c r="F7" i="7"/>
  <c r="E55" i="7"/>
  <c r="E11" i="9"/>
  <c r="E12" i="9" s="1"/>
  <c r="D10" i="4"/>
  <c r="D31" i="14"/>
  <c r="I44" i="16" l="1"/>
  <c r="I50" i="16" s="1"/>
  <c r="I43" i="16"/>
  <c r="I45" i="16"/>
  <c r="I51" i="16" s="1"/>
  <c r="I46" i="16"/>
  <c r="I52" i="16" s="1"/>
  <c r="I49" i="16"/>
  <c r="X8" i="27"/>
  <c r="Y6" i="27"/>
  <c r="L71" i="19"/>
  <c r="AA3" i="27" s="1"/>
  <c r="AA5" i="27" s="1"/>
  <c r="X63" i="19"/>
  <c r="X65" i="19"/>
  <c r="H53" i="16"/>
  <c r="W59" i="19"/>
  <c r="W60" i="19" s="1"/>
  <c r="W61" i="19" s="1"/>
  <c r="X56" i="19"/>
  <c r="Z51" i="19"/>
  <c r="Y54" i="19"/>
  <c r="Y55" i="19" s="1"/>
  <c r="Y62" i="19" s="1"/>
  <c r="Z10" i="27"/>
  <c r="Z9" i="27"/>
  <c r="V67" i="19"/>
  <c r="J73" i="19" s="1"/>
  <c r="J72" i="19"/>
  <c r="J95" i="19" s="1"/>
  <c r="V92" i="19" s="1"/>
  <c r="J36" i="16" s="1"/>
  <c r="J38" i="16" s="1"/>
  <c r="J39" i="16" s="1"/>
  <c r="J40" i="16" s="1"/>
  <c r="Y71" i="27"/>
  <c r="P58" i="16"/>
  <c r="C22" i="11"/>
  <c r="J40" i="11" s="1"/>
  <c r="J41" i="11" s="1"/>
  <c r="C33" i="11" s="1"/>
  <c r="M46" i="31"/>
  <c r="M49" i="31" s="1"/>
  <c r="M52" i="31" s="1"/>
  <c r="M60" i="31" s="1"/>
  <c r="M61" i="31" s="1"/>
  <c r="T57" i="18"/>
  <c r="L60" i="31"/>
  <c r="L61" i="31" s="1"/>
  <c r="L72" i="31"/>
  <c r="L53" i="31"/>
  <c r="L65" i="31"/>
  <c r="AB51" i="11"/>
  <c r="K66" i="31"/>
  <c r="K71" i="31" s="1"/>
  <c r="K73" i="31" s="1"/>
  <c r="K74" i="31" s="1"/>
  <c r="K62" i="31"/>
  <c r="AA85" i="11" s="1"/>
  <c r="AA62" i="11"/>
  <c r="AA73" i="11" s="1"/>
  <c r="N43" i="31"/>
  <c r="N40" i="31"/>
  <c r="N44" i="31"/>
  <c r="N41" i="31"/>
  <c r="N45" i="31"/>
  <c r="N42" i="31"/>
  <c r="J67" i="31"/>
  <c r="J68" i="31" s="1"/>
  <c r="S58" i="18"/>
  <c r="P36" i="31"/>
  <c r="O37" i="31"/>
  <c r="Q58" i="31"/>
  <c r="R57" i="31"/>
  <c r="T44" i="27"/>
  <c r="T46" i="27" s="1"/>
  <c r="S47" i="27"/>
  <c r="S49" i="27" s="1"/>
  <c r="O62" i="29"/>
  <c r="O63" i="29" s="1"/>
  <c r="O66" i="29" s="1"/>
  <c r="N79" i="29"/>
  <c r="N81" i="29" s="1"/>
  <c r="N82" i="29" s="1"/>
  <c r="N63" i="22"/>
  <c r="E28" i="2"/>
  <c r="E29" i="2" s="1"/>
  <c r="M88" i="29"/>
  <c r="N86" i="29"/>
  <c r="N87" i="29" s="1"/>
  <c r="R35" i="17" a="1"/>
  <c r="R35" i="17" s="1"/>
  <c r="S35" i="17" s="1" a="1"/>
  <c r="S35" i="17" s="1"/>
  <c r="T35" i="17" s="1" a="1"/>
  <c r="T35" i="17" s="1"/>
  <c r="E20" i="4"/>
  <c r="AB50" i="11"/>
  <c r="O85" i="29"/>
  <c r="P62" i="29"/>
  <c r="P63" i="29" s="1"/>
  <c r="P66" i="29" s="1"/>
  <c r="S42" i="29"/>
  <c r="R58" i="29"/>
  <c r="R45" i="29"/>
  <c r="R49" i="29" s="1"/>
  <c r="R53" i="29" s="1"/>
  <c r="R43" i="29"/>
  <c r="R47" i="29" s="1"/>
  <c r="R44" i="29"/>
  <c r="R48" i="29" s="1"/>
  <c r="R52" i="29" s="1"/>
  <c r="O80" i="29"/>
  <c r="AB61" i="11"/>
  <c r="Q46" i="29"/>
  <c r="Q51" i="29"/>
  <c r="Q54" i="29" s="1"/>
  <c r="Q61" i="29"/>
  <c r="Q59" i="29"/>
  <c r="Q60" i="29"/>
  <c r="J36" i="11"/>
  <c r="C32" i="11" s="1"/>
  <c r="AA72" i="11"/>
  <c r="U72" i="29"/>
  <c r="P55" i="29"/>
  <c r="P74" i="29" s="1"/>
  <c r="P75" i="29" s="1"/>
  <c r="P76" i="29" s="1"/>
  <c r="AH84" i="11" s="1"/>
  <c r="C15" i="10"/>
  <c r="C14" i="10"/>
  <c r="D71" i="18"/>
  <c r="D73" i="18" s="1"/>
  <c r="D74" i="18" s="1"/>
  <c r="W59" i="11"/>
  <c r="E48" i="18"/>
  <c r="E49" i="18" s="1"/>
  <c r="E52" i="18" s="1"/>
  <c r="E43" i="18"/>
  <c r="Z137" i="27" s="1"/>
  <c r="Q185" i="27"/>
  <c r="P187" i="27"/>
  <c r="T58" i="18"/>
  <c r="S60" i="22"/>
  <c r="S61" i="22" s="1"/>
  <c r="T58" i="17"/>
  <c r="R62" i="22"/>
  <c r="Q36" i="18"/>
  <c r="R34" i="18" s="1"/>
  <c r="R35" i="18" s="1"/>
  <c r="T74" i="22"/>
  <c r="T43" i="22"/>
  <c r="T44" i="22" s="1"/>
  <c r="O59" i="16"/>
  <c r="D67" i="18"/>
  <c r="AC38" i="27"/>
  <c r="AB40" i="27"/>
  <c r="F26" i="2"/>
  <c r="F25" i="2"/>
  <c r="C20" i="10"/>
  <c r="C4" i="7"/>
  <c r="D4" i="7" s="1"/>
  <c r="E4" i="7" s="1"/>
  <c r="F4" i="7" s="1"/>
  <c r="G4" i="7" s="1"/>
  <c r="X41" i="27"/>
  <c r="X43" i="27" s="1"/>
  <c r="S55" i="11"/>
  <c r="R66" i="11"/>
  <c r="F11" i="9"/>
  <c r="F12" i="9" s="1"/>
  <c r="F55" i="7"/>
  <c r="G7" i="7"/>
  <c r="D6" i="9"/>
  <c r="D56" i="7"/>
  <c r="D57" i="7" s="1"/>
  <c r="D22" i="4"/>
  <c r="J43" i="16" l="1"/>
  <c r="J45" i="16"/>
  <c r="J51" i="16" s="1"/>
  <c r="J46" i="16"/>
  <c r="J52" i="16" s="1"/>
  <c r="J44" i="16"/>
  <c r="J50" i="16" s="1"/>
  <c r="I53" i="16"/>
  <c r="I66" i="16" s="1"/>
  <c r="Y56" i="19"/>
  <c r="X59" i="19"/>
  <c r="X60" i="19" s="1"/>
  <c r="X61" i="19" s="1"/>
  <c r="M71" i="19"/>
  <c r="AB3" i="27" s="1"/>
  <c r="AB5" i="27" s="1"/>
  <c r="Y63" i="19"/>
  <c r="Y65" i="19"/>
  <c r="AA9" i="27"/>
  <c r="AA10" i="27"/>
  <c r="Z71" i="27"/>
  <c r="J49" i="16"/>
  <c r="AA51" i="19"/>
  <c r="Z54" i="19"/>
  <c r="Z55" i="19" s="1"/>
  <c r="Z62" i="19" s="1"/>
  <c r="X74" i="27"/>
  <c r="X76" i="27" s="1"/>
  <c r="H61" i="16"/>
  <c r="H62" i="16" s="1"/>
  <c r="H66" i="16"/>
  <c r="Y8" i="27"/>
  <c r="Z6" i="27"/>
  <c r="K72" i="19"/>
  <c r="K95" i="19" s="1"/>
  <c r="W92" i="19" s="1"/>
  <c r="W67" i="19"/>
  <c r="K73" i="19" s="1"/>
  <c r="Q58" i="16"/>
  <c r="AC51" i="11"/>
  <c r="M53" i="31"/>
  <c r="M72" i="31"/>
  <c r="M65" i="31"/>
  <c r="O42" i="31"/>
  <c r="O40" i="31"/>
  <c r="O44" i="31"/>
  <c r="O45" i="31"/>
  <c r="O43" i="31"/>
  <c r="O41" i="31"/>
  <c r="K67" i="31"/>
  <c r="K68" i="31" s="1"/>
  <c r="P37" i="31"/>
  <c r="Q36" i="31"/>
  <c r="N46" i="31"/>
  <c r="N49" i="31" s="1"/>
  <c r="N52" i="31" s="1"/>
  <c r="R58" i="31"/>
  <c r="S57" i="31"/>
  <c r="L66" i="31"/>
  <c r="L71" i="31" s="1"/>
  <c r="L73" i="31" s="1"/>
  <c r="L74" i="31" s="1"/>
  <c r="L62" i="31"/>
  <c r="AB85" i="11" s="1"/>
  <c r="AB62" i="11"/>
  <c r="AB73" i="11" s="1"/>
  <c r="U57" i="18"/>
  <c r="M66" i="31"/>
  <c r="M71" i="31" s="1"/>
  <c r="M62" i="31"/>
  <c r="AC85" i="11" s="1"/>
  <c r="AC62" i="11"/>
  <c r="T47" i="27"/>
  <c r="T49" i="27" s="1"/>
  <c r="U44" i="27"/>
  <c r="U46" i="27" s="1"/>
  <c r="O79" i="29"/>
  <c r="O81" i="29" s="1"/>
  <c r="O82" i="29" s="1"/>
  <c r="O67" i="29"/>
  <c r="O86" i="29"/>
  <c r="O87" i="29" s="1"/>
  <c r="O63" i="22"/>
  <c r="N88" i="29"/>
  <c r="F28" i="2"/>
  <c r="F29" i="2" s="1"/>
  <c r="F20" i="4"/>
  <c r="AB72" i="11"/>
  <c r="P86" i="29"/>
  <c r="AC50" i="11"/>
  <c r="P67" i="29"/>
  <c r="P79" i="29"/>
  <c r="Q55" i="29"/>
  <c r="Q74" i="29" s="1"/>
  <c r="Q75" i="29" s="1"/>
  <c r="Q76" i="29" s="1"/>
  <c r="AI84" i="11" s="1"/>
  <c r="U35" i="17" a="1"/>
  <c r="U35" i="17" s="1"/>
  <c r="P80" i="29"/>
  <c r="AC61" i="11"/>
  <c r="V72" i="29"/>
  <c r="Q62" i="29"/>
  <c r="Q63" i="29" s="1"/>
  <c r="Q66" i="29" s="1"/>
  <c r="R59" i="29"/>
  <c r="R60" i="29"/>
  <c r="R61" i="29"/>
  <c r="R51" i="29"/>
  <c r="R54" i="29" s="1"/>
  <c r="R46" i="29"/>
  <c r="S58" i="29"/>
  <c r="S43" i="29"/>
  <c r="S47" i="29" s="1"/>
  <c r="S45" i="29"/>
  <c r="S49" i="29" s="1"/>
  <c r="S53" i="29" s="1"/>
  <c r="T42" i="29"/>
  <c r="S44" i="29"/>
  <c r="S48" i="29" s="1"/>
  <c r="S52" i="29" s="1"/>
  <c r="P85" i="29"/>
  <c r="R36" i="18"/>
  <c r="S34" i="18" s="1"/>
  <c r="S35" i="18" s="1"/>
  <c r="T60" i="22"/>
  <c r="T61" i="22" s="1"/>
  <c r="U58" i="17"/>
  <c r="S62" i="22"/>
  <c r="Z140" i="27"/>
  <c r="Z142" i="27" s="1"/>
  <c r="E65" i="18"/>
  <c r="E60" i="18"/>
  <c r="E61" i="18" s="1"/>
  <c r="E62" i="18" s="1"/>
  <c r="AF82" i="11" s="1"/>
  <c r="E53" i="18"/>
  <c r="D68" i="18"/>
  <c r="Y146" i="27"/>
  <c r="Y148" i="27" s="1"/>
  <c r="P59" i="16"/>
  <c r="U74" i="22"/>
  <c r="U43" i="22"/>
  <c r="U44" i="22" s="1"/>
  <c r="U58" i="18"/>
  <c r="Q187" i="27"/>
  <c r="W70" i="11"/>
  <c r="AC40" i="27"/>
  <c r="AD38" i="27"/>
  <c r="T55" i="11"/>
  <c r="S66" i="11"/>
  <c r="Y41" i="27"/>
  <c r="Y43" i="27" s="1"/>
  <c r="G55" i="7"/>
  <c r="G11" i="9"/>
  <c r="G12" i="9" s="1"/>
  <c r="D23" i="7"/>
  <c r="E54" i="7"/>
  <c r="I61" i="16" l="1"/>
  <c r="I62" i="16" s="1"/>
  <c r="I63" i="16" s="1"/>
  <c r="W80" i="11" s="1"/>
  <c r="Y74" i="27"/>
  <c r="Y76" i="27" s="1"/>
  <c r="J53" i="16"/>
  <c r="J73" i="16" s="1"/>
  <c r="V46" i="11"/>
  <c r="H73" i="16"/>
  <c r="AB51" i="19"/>
  <c r="AA54" i="19"/>
  <c r="AA55" i="19" s="1"/>
  <c r="AA62" i="19" s="1"/>
  <c r="J38" i="17"/>
  <c r="K36" i="16"/>
  <c r="K38" i="16" s="1"/>
  <c r="K39" i="16" s="1"/>
  <c r="K40" i="16" s="1"/>
  <c r="Z8" i="27"/>
  <c r="AA6" i="27"/>
  <c r="AB9" i="27"/>
  <c r="AB10" i="27"/>
  <c r="X67" i="19"/>
  <c r="L73" i="19" s="1"/>
  <c r="L72" i="19"/>
  <c r="L95" i="19" s="1"/>
  <c r="X92" i="19" s="1"/>
  <c r="H63" i="16"/>
  <c r="V80" i="11" s="1"/>
  <c r="X77" i="27"/>
  <c r="X79" i="27" s="1"/>
  <c r="H67" i="16"/>
  <c r="N71" i="19"/>
  <c r="Z63" i="19"/>
  <c r="Z65" i="19"/>
  <c r="W46" i="11"/>
  <c r="I73" i="16"/>
  <c r="Y59" i="19"/>
  <c r="Y60" i="19" s="1"/>
  <c r="Y61" i="19" s="1"/>
  <c r="Z56" i="19"/>
  <c r="R58" i="16"/>
  <c r="AC73" i="11"/>
  <c r="M67" i="31"/>
  <c r="M68" i="31" s="1"/>
  <c r="L67" i="31"/>
  <c r="L68" i="31" s="1"/>
  <c r="N60" i="31"/>
  <c r="N61" i="31" s="1"/>
  <c r="N72" i="31"/>
  <c r="AD51" i="11"/>
  <c r="N53" i="31"/>
  <c r="N65" i="31"/>
  <c r="M73" i="31"/>
  <c r="M74" i="31" s="1"/>
  <c r="N71" i="31"/>
  <c r="Q37" i="31"/>
  <c r="R36" i="31"/>
  <c r="O46" i="31"/>
  <c r="O49" i="31" s="1"/>
  <c r="O52" i="31" s="1"/>
  <c r="V57" i="18"/>
  <c r="S58" i="31"/>
  <c r="T57" i="31"/>
  <c r="P43" i="31"/>
  <c r="P44" i="31"/>
  <c r="P41" i="31"/>
  <c r="P40" i="31"/>
  <c r="P45" i="31"/>
  <c r="P42" i="31"/>
  <c r="U47" i="27"/>
  <c r="U49" i="27" s="1"/>
  <c r="V44" i="27"/>
  <c r="V46" i="27" s="1"/>
  <c r="P63" i="22"/>
  <c r="O88" i="29"/>
  <c r="G20" i="4"/>
  <c r="Q86" i="29"/>
  <c r="AD50" i="11"/>
  <c r="Q79" i="29"/>
  <c r="Q67" i="29"/>
  <c r="P87" i="29"/>
  <c r="Q85" i="29"/>
  <c r="R55" i="29"/>
  <c r="R74" i="29" s="1"/>
  <c r="R75" i="29" s="1"/>
  <c r="R76" i="29" s="1"/>
  <c r="AJ84" i="11" s="1"/>
  <c r="T58" i="29"/>
  <c r="T44" i="29"/>
  <c r="T48" i="29" s="1"/>
  <c r="T52" i="29" s="1"/>
  <c r="T43" i="29"/>
  <c r="T47" i="29" s="1"/>
  <c r="T45" i="29"/>
  <c r="T49" i="29" s="1"/>
  <c r="T53" i="29" s="1"/>
  <c r="U42" i="29"/>
  <c r="R62" i="29"/>
  <c r="R63" i="29" s="1"/>
  <c r="R66" i="29" s="1"/>
  <c r="W72" i="29"/>
  <c r="Q80" i="29"/>
  <c r="AD61" i="11"/>
  <c r="P81" i="29"/>
  <c r="P82" i="29" s="1"/>
  <c r="S51" i="29"/>
  <c r="S54" i="29" s="1"/>
  <c r="S46" i="29"/>
  <c r="AC72" i="11"/>
  <c r="S59" i="29"/>
  <c r="S60" i="29"/>
  <c r="S61" i="29"/>
  <c r="V35" i="17" a="1"/>
  <c r="V35" i="17" s="1"/>
  <c r="E72" i="18"/>
  <c r="V58" i="18"/>
  <c r="V74" i="22"/>
  <c r="V43" i="22"/>
  <c r="V44" i="22" s="1"/>
  <c r="V58" i="17"/>
  <c r="S36" i="18"/>
  <c r="T34" i="18" s="1"/>
  <c r="T35" i="18" s="1"/>
  <c r="U60" i="22"/>
  <c r="U61" i="22" s="1"/>
  <c r="Q59" i="16"/>
  <c r="E66" i="18"/>
  <c r="E67" i="18" s="1"/>
  <c r="Z143" i="27"/>
  <c r="Z145" i="27" s="1"/>
  <c r="T62" i="22"/>
  <c r="AE38" i="27"/>
  <c r="AD40" i="27"/>
  <c r="Z41" i="27"/>
  <c r="Z43" i="27" s="1"/>
  <c r="U55" i="11"/>
  <c r="T66" i="11"/>
  <c r="E20" i="14"/>
  <c r="K46" i="16" l="1"/>
  <c r="K44" i="16"/>
  <c r="K45" i="16"/>
  <c r="K51" i="16" s="1"/>
  <c r="K43" i="16"/>
  <c r="K49" i="16" s="1"/>
  <c r="K52" i="16"/>
  <c r="Y77" i="27"/>
  <c r="Y79" i="27" s="1"/>
  <c r="I67" i="16"/>
  <c r="I68" i="16" s="1"/>
  <c r="Y80" i="27" s="1"/>
  <c r="Y82" i="27" s="1"/>
  <c r="J66" i="16"/>
  <c r="X46" i="11" s="1"/>
  <c r="Z74" i="27"/>
  <c r="Z76" i="27" s="1"/>
  <c r="J61" i="16"/>
  <c r="J62" i="16" s="1"/>
  <c r="J67" i="16" s="1"/>
  <c r="B76" i="19"/>
  <c r="AC3" i="27"/>
  <c r="AC5" i="27" s="1"/>
  <c r="K38" i="17"/>
  <c r="L36" i="16"/>
  <c r="L38" i="16" s="1"/>
  <c r="L39" i="16" s="1"/>
  <c r="L40" i="16" s="1"/>
  <c r="AA8" i="27"/>
  <c r="AB6" i="27"/>
  <c r="AC51" i="19"/>
  <c r="AB54" i="19"/>
  <c r="AB55" i="19" s="1"/>
  <c r="AB62" i="19" s="1"/>
  <c r="Z59" i="19"/>
  <c r="Z60" i="19" s="1"/>
  <c r="Z61" i="19" s="1"/>
  <c r="AA56" i="19"/>
  <c r="H72" i="16"/>
  <c r="H74" i="16" s="1"/>
  <c r="H75" i="16" s="1"/>
  <c r="V57" i="11"/>
  <c r="V68" i="11" s="1"/>
  <c r="I72" i="16"/>
  <c r="I74" i="16" s="1"/>
  <c r="H68" i="16"/>
  <c r="Y67" i="19"/>
  <c r="M73" i="19" s="1"/>
  <c r="M72" i="19"/>
  <c r="AA71" i="27"/>
  <c r="K50" i="16"/>
  <c r="J41" i="17"/>
  <c r="J40" i="17"/>
  <c r="J39" i="17"/>
  <c r="O71" i="19"/>
  <c r="AA63" i="19"/>
  <c r="AA65" i="19"/>
  <c r="S58" i="16"/>
  <c r="S36" i="31"/>
  <c r="R37" i="31"/>
  <c r="N62" i="31"/>
  <c r="AD85" i="11" s="1"/>
  <c r="N66" i="31"/>
  <c r="N67" i="31" s="1"/>
  <c r="N68" i="31" s="1"/>
  <c r="AD62" i="11"/>
  <c r="Q45" i="31"/>
  <c r="Q44" i="31"/>
  <c r="Q43" i="31"/>
  <c r="Q42" i="31"/>
  <c r="Q41" i="31"/>
  <c r="Q40" i="31"/>
  <c r="W57" i="18"/>
  <c r="O71" i="31"/>
  <c r="N73" i="31"/>
  <c r="N74" i="31" s="1"/>
  <c r="P46" i="31"/>
  <c r="P49" i="31" s="1"/>
  <c r="P52" i="31" s="1"/>
  <c r="T58" i="31"/>
  <c r="U57" i="31"/>
  <c r="O60" i="31"/>
  <c r="O61" i="31" s="1"/>
  <c r="O72" i="31"/>
  <c r="O53" i="31"/>
  <c r="O65" i="31"/>
  <c r="AE51" i="11"/>
  <c r="W44" i="27"/>
  <c r="W46" i="27" s="1"/>
  <c r="V47" i="27"/>
  <c r="V49" i="27" s="1"/>
  <c r="P88" i="29"/>
  <c r="Q63" i="22"/>
  <c r="Q81" i="29"/>
  <c r="Q82" i="29" s="1"/>
  <c r="AD72" i="11"/>
  <c r="R86" i="29"/>
  <c r="AE50" i="11"/>
  <c r="R67" i="29"/>
  <c r="R79" i="29"/>
  <c r="W35" i="17" a="1"/>
  <c r="W35" i="17" s="1"/>
  <c r="Q87" i="29"/>
  <c r="R85" i="29"/>
  <c r="U58" i="29"/>
  <c r="U43" i="29"/>
  <c r="U47" i="29" s="1"/>
  <c r="U44" i="29"/>
  <c r="U48" i="29" s="1"/>
  <c r="U52" i="29" s="1"/>
  <c r="U45" i="29"/>
  <c r="U49" i="29" s="1"/>
  <c r="U53" i="29" s="1"/>
  <c r="V42" i="29"/>
  <c r="T59" i="29"/>
  <c r="T60" i="29"/>
  <c r="T61" i="29"/>
  <c r="S55" i="29"/>
  <c r="S74" i="29" s="1"/>
  <c r="S75" i="29" s="1"/>
  <c r="S76" i="29" s="1"/>
  <c r="AK84" i="11" s="1"/>
  <c r="X72" i="29"/>
  <c r="R80" i="29"/>
  <c r="AE61" i="11"/>
  <c r="S62" i="29"/>
  <c r="S63" i="29" s="1"/>
  <c r="S66" i="29" s="1"/>
  <c r="T46" i="29"/>
  <c r="T51" i="29"/>
  <c r="T54" i="29" s="1"/>
  <c r="T36" i="18"/>
  <c r="U34" i="18" s="1"/>
  <c r="U35" i="18" s="1"/>
  <c r="W74" i="22"/>
  <c r="W43" i="22"/>
  <c r="W44" i="22" s="1"/>
  <c r="E68" i="18"/>
  <c r="Z146" i="27"/>
  <c r="Z148" i="27" s="1"/>
  <c r="E71" i="18"/>
  <c r="E73" i="18" s="1"/>
  <c r="E74" i="18" s="1"/>
  <c r="X59" i="11"/>
  <c r="U62" i="22"/>
  <c r="R59" i="16"/>
  <c r="W58" i="17"/>
  <c r="V60" i="22"/>
  <c r="V61" i="22" s="1"/>
  <c r="W58" i="18"/>
  <c r="AE40" i="27"/>
  <c r="AF38" i="27"/>
  <c r="V55" i="11"/>
  <c r="U66" i="11"/>
  <c r="AA41" i="27"/>
  <c r="AA43" i="27" s="1"/>
  <c r="E10" i="4"/>
  <c r="E31" i="14"/>
  <c r="L45" i="16" l="1"/>
  <c r="L51" i="16" s="1"/>
  <c r="L44" i="16"/>
  <c r="L50" i="16" s="1"/>
  <c r="L43" i="16"/>
  <c r="L49" i="16" s="1"/>
  <c r="L46" i="16"/>
  <c r="L52" i="16" s="1"/>
  <c r="I69" i="16"/>
  <c r="W57" i="11"/>
  <c r="W68" i="11" s="1"/>
  <c r="Z77" i="27"/>
  <c r="Z79" i="27" s="1"/>
  <c r="J68" i="16"/>
  <c r="J69" i="16" s="1"/>
  <c r="I75" i="16"/>
  <c r="J63" i="16"/>
  <c r="X80" i="11" s="1"/>
  <c r="M95" i="19"/>
  <c r="Y92" i="19" s="1"/>
  <c r="D24" i="7"/>
  <c r="Z67" i="19"/>
  <c r="N73" i="19" s="1"/>
  <c r="B78" i="19" s="1"/>
  <c r="N72" i="19"/>
  <c r="B77" i="19" s="1"/>
  <c r="B98" i="19" s="1"/>
  <c r="Z92" i="19" s="1"/>
  <c r="AB71" i="27"/>
  <c r="P71" i="19"/>
  <c r="AB63" i="19"/>
  <c r="AB65" i="19"/>
  <c r="K40" i="17"/>
  <c r="K39" i="17"/>
  <c r="K41" i="17"/>
  <c r="C76" i="19"/>
  <c r="AD3" i="27"/>
  <c r="AD5" i="27" s="1"/>
  <c r="K53" i="16"/>
  <c r="X80" i="27"/>
  <c r="X82" i="27" s="1"/>
  <c r="H69" i="16"/>
  <c r="AD51" i="19"/>
  <c r="AC54" i="19"/>
  <c r="AC55" i="19" s="1"/>
  <c r="AC62" i="19" s="1"/>
  <c r="AB8" i="27"/>
  <c r="AC6" i="27"/>
  <c r="AC9" i="27"/>
  <c r="AC10" i="27"/>
  <c r="AA59" i="19"/>
  <c r="AA60" i="19" s="1"/>
  <c r="AA61" i="19" s="1"/>
  <c r="AB56" i="19"/>
  <c r="X57" i="11"/>
  <c r="J72" i="16"/>
  <c r="J74" i="16" s="1"/>
  <c r="T58" i="16"/>
  <c r="U58" i="31"/>
  <c r="V57" i="31"/>
  <c r="Q46" i="31"/>
  <c r="Q49" i="31" s="1"/>
  <c r="Q52" i="31" s="1"/>
  <c r="P71" i="31"/>
  <c r="O73" i="31"/>
  <c r="O74" i="31" s="1"/>
  <c r="P60" i="31"/>
  <c r="P61" i="31" s="1"/>
  <c r="P72" i="31"/>
  <c r="AF51" i="11"/>
  <c r="P53" i="31"/>
  <c r="P65" i="31"/>
  <c r="AD73" i="11"/>
  <c r="R43" i="31"/>
  <c r="R40" i="31"/>
  <c r="R45" i="31"/>
  <c r="R42" i="31"/>
  <c r="R44" i="31"/>
  <c r="R41" i="31"/>
  <c r="O62" i="31"/>
  <c r="AE85" i="11" s="1"/>
  <c r="O66" i="31"/>
  <c r="O67" i="31" s="1"/>
  <c r="O68" i="31" s="1"/>
  <c r="AE62" i="11"/>
  <c r="AE73" i="11" s="1"/>
  <c r="X57" i="18"/>
  <c r="S37" i="31"/>
  <c r="T36" i="31"/>
  <c r="W47" i="27"/>
  <c r="W49" i="27" s="1"/>
  <c r="X44" i="27"/>
  <c r="X46" i="27" s="1"/>
  <c r="Q88" i="29"/>
  <c r="R63" i="22"/>
  <c r="R81" i="29"/>
  <c r="R82" i="29" s="1"/>
  <c r="AE72" i="11"/>
  <c r="S86" i="29"/>
  <c r="AF50" i="11"/>
  <c r="S79" i="29"/>
  <c r="S67" i="29"/>
  <c r="V58" i="29"/>
  <c r="V45" i="29"/>
  <c r="V49" i="29" s="1"/>
  <c r="V53" i="29" s="1"/>
  <c r="V43" i="29"/>
  <c r="V47" i="29" s="1"/>
  <c r="W42" i="29"/>
  <c r="V44" i="29"/>
  <c r="V48" i="29" s="1"/>
  <c r="V52" i="29" s="1"/>
  <c r="U59" i="29"/>
  <c r="U60" i="29"/>
  <c r="U61" i="29"/>
  <c r="R87" i="29"/>
  <c r="S85" i="29"/>
  <c r="T55" i="29"/>
  <c r="T74" i="29" s="1"/>
  <c r="T75" i="29" s="1"/>
  <c r="T76" i="29" s="1"/>
  <c r="AL84" i="11" s="1"/>
  <c r="D96" i="11" s="1"/>
  <c r="S80" i="29"/>
  <c r="S81" i="29" s="1"/>
  <c r="S82" i="29" s="1"/>
  <c r="AF61" i="11"/>
  <c r="X35" i="17" a="1"/>
  <c r="X35" i="17" s="1"/>
  <c r="Y72" i="29"/>
  <c r="T62" i="29"/>
  <c r="T63" i="29" s="1"/>
  <c r="T66" i="29" s="1"/>
  <c r="U51" i="29"/>
  <c r="U54" i="29" s="1"/>
  <c r="U46" i="29"/>
  <c r="X58" i="18"/>
  <c r="V62" i="22"/>
  <c r="X58" i="17"/>
  <c r="X70" i="11"/>
  <c r="X74" i="22"/>
  <c r="X43" i="22"/>
  <c r="X44" i="22" s="1"/>
  <c r="AA140" i="27"/>
  <c r="AA142" i="27" s="1"/>
  <c r="W60" i="22"/>
  <c r="W61" i="22" s="1"/>
  <c r="U36" i="18"/>
  <c r="V34" i="18" s="1"/>
  <c r="V35" i="18" s="1"/>
  <c r="S59" i="16"/>
  <c r="AF40" i="27"/>
  <c r="AG38" i="27"/>
  <c r="W55" i="11"/>
  <c r="V66" i="11"/>
  <c r="E56" i="7"/>
  <c r="E57" i="7" s="1"/>
  <c r="E6" i="9"/>
  <c r="E22" i="4"/>
  <c r="Z80" i="27" l="1"/>
  <c r="Z82" i="27" s="1"/>
  <c r="J75" i="16"/>
  <c r="L53" i="16"/>
  <c r="L73" i="16" s="1"/>
  <c r="Q71" i="19"/>
  <c r="AC63" i="19"/>
  <c r="AC65" i="19"/>
  <c r="M38" i="17"/>
  <c r="N36" i="16"/>
  <c r="N38" i="16" s="1"/>
  <c r="X68" i="11"/>
  <c r="AE51" i="19"/>
  <c r="AD54" i="19"/>
  <c r="AD55" i="19" s="1"/>
  <c r="AD62" i="19" s="1"/>
  <c r="AB59" i="19"/>
  <c r="AB60" i="19" s="1"/>
  <c r="AB61" i="19" s="1"/>
  <c r="AC56" i="19"/>
  <c r="AD6" i="27"/>
  <c r="AC8" i="27"/>
  <c r="AA74" i="27"/>
  <c r="AA76" i="27" s="1"/>
  <c r="K61" i="16"/>
  <c r="K62" i="16" s="1"/>
  <c r="K73" i="16"/>
  <c r="K66" i="16"/>
  <c r="D76" i="19"/>
  <c r="AE3" i="27"/>
  <c r="AE5" i="27" s="1"/>
  <c r="O72" i="19"/>
  <c r="C77" i="19" s="1"/>
  <c r="C98" i="19" s="1"/>
  <c r="AA92" i="19" s="1"/>
  <c r="AA67" i="19"/>
  <c r="O73" i="19" s="1"/>
  <c r="C78" i="19" s="1"/>
  <c r="AD10" i="27"/>
  <c r="AD9" i="27"/>
  <c r="L38" i="17"/>
  <c r="M36" i="16"/>
  <c r="M38" i="16" s="1"/>
  <c r="M39" i="16" s="1"/>
  <c r="U58" i="16"/>
  <c r="R88" i="29"/>
  <c r="U36" i="31"/>
  <c r="T37" i="31"/>
  <c r="V58" i="31"/>
  <c r="W57" i="31"/>
  <c r="S44" i="31"/>
  <c r="S43" i="31"/>
  <c r="S41" i="31"/>
  <c r="S42" i="31"/>
  <c r="S45" i="31"/>
  <c r="S40" i="31"/>
  <c r="Q71" i="31"/>
  <c r="P73" i="31"/>
  <c r="P74" i="31" s="1"/>
  <c r="Y57" i="18"/>
  <c r="R46" i="31"/>
  <c r="R49" i="31" s="1"/>
  <c r="R52" i="31" s="1"/>
  <c r="P66" i="31"/>
  <c r="P67" i="31" s="1"/>
  <c r="P68" i="31" s="1"/>
  <c r="P62" i="31"/>
  <c r="AF85" i="11" s="1"/>
  <c r="AF62" i="11"/>
  <c r="Q60" i="31"/>
  <c r="Q61" i="31" s="1"/>
  <c r="Q53" i="31"/>
  <c r="AG51" i="11"/>
  <c r="Q72" i="31"/>
  <c r="Q65" i="31"/>
  <c r="X47" i="27"/>
  <c r="X49" i="27" s="1"/>
  <c r="Y44" i="27"/>
  <c r="Y46" i="27" s="1"/>
  <c r="S63" i="22"/>
  <c r="T86" i="29"/>
  <c r="AG50" i="11"/>
  <c r="T79" i="29"/>
  <c r="T67" i="29"/>
  <c r="T80" i="29"/>
  <c r="AG61" i="11"/>
  <c r="W44" i="29"/>
  <c r="W48" i="29" s="1"/>
  <c r="W52" i="29" s="1"/>
  <c r="X42" i="29"/>
  <c r="W45" i="29"/>
  <c r="W49" i="29" s="1"/>
  <c r="W53" i="29" s="1"/>
  <c r="W58" i="29"/>
  <c r="W43" i="29"/>
  <c r="W47" i="29" s="1"/>
  <c r="U55" i="29"/>
  <c r="U74" i="29" s="1"/>
  <c r="U75" i="29" s="1"/>
  <c r="U76" i="29" s="1"/>
  <c r="AM84" i="11" s="1"/>
  <c r="V51" i="29"/>
  <c r="V54" i="29" s="1"/>
  <c r="V46" i="29"/>
  <c r="Y35" i="17" a="1"/>
  <c r="Y35" i="17" s="1"/>
  <c r="S87" i="29"/>
  <c r="S88" i="29" s="1"/>
  <c r="T85" i="29"/>
  <c r="U62" i="29"/>
  <c r="U63" i="29" s="1"/>
  <c r="U66" i="29" s="1"/>
  <c r="Z72" i="29"/>
  <c r="AF72" i="11"/>
  <c r="V59" i="29"/>
  <c r="V60" i="29"/>
  <c r="V61" i="29"/>
  <c r="V36" i="18"/>
  <c r="W34" i="18" s="1"/>
  <c r="W35" i="18" s="1"/>
  <c r="Y58" i="17"/>
  <c r="Y58" i="18"/>
  <c r="X60" i="22"/>
  <c r="X61" i="22" s="1"/>
  <c r="T59" i="16"/>
  <c r="W62" i="22"/>
  <c r="Y74" i="22"/>
  <c r="Y43" i="22"/>
  <c r="Y44" i="22" s="1"/>
  <c r="AA143" i="27"/>
  <c r="AA145" i="27" s="1"/>
  <c r="AG40" i="27"/>
  <c r="AH38" i="27"/>
  <c r="J4" i="11"/>
  <c r="C4" i="11" s="1"/>
  <c r="AB41" i="27"/>
  <c r="AB43" i="27" s="1"/>
  <c r="AC41" i="27"/>
  <c r="AC43" i="27" s="1"/>
  <c r="X55" i="11"/>
  <c r="W66" i="11"/>
  <c r="E23" i="7"/>
  <c r="F54" i="7"/>
  <c r="M40" i="16" l="1"/>
  <c r="N39" i="16"/>
  <c r="L66" i="16"/>
  <c r="L61" i="16"/>
  <c r="L62" i="16" s="1"/>
  <c r="L67" i="16" s="1"/>
  <c r="AB74" i="27"/>
  <c r="AB76" i="27" s="1"/>
  <c r="L41" i="17"/>
  <c r="L40" i="17"/>
  <c r="L39" i="17"/>
  <c r="N38" i="17"/>
  <c r="O36" i="16"/>
  <c r="O38" i="16" s="1"/>
  <c r="AD8" i="27"/>
  <c r="AE6" i="27"/>
  <c r="AF51" i="19"/>
  <c r="AE54" i="19"/>
  <c r="AE55" i="19" s="1"/>
  <c r="AE62" i="19" s="1"/>
  <c r="M39" i="17"/>
  <c r="M41" i="17"/>
  <c r="M40" i="17"/>
  <c r="Z46" i="11"/>
  <c r="AE10" i="27"/>
  <c r="AE9" i="27"/>
  <c r="K63" i="16"/>
  <c r="Y80" i="11" s="1"/>
  <c r="AA77" i="27"/>
  <c r="AA79" i="27" s="1"/>
  <c r="K67" i="16"/>
  <c r="K68" i="16" s="1"/>
  <c r="AD56" i="19"/>
  <c r="AC59" i="19"/>
  <c r="AC60" i="19" s="1"/>
  <c r="AC61" i="19" s="1"/>
  <c r="AB67" i="19"/>
  <c r="P73" i="19" s="1"/>
  <c r="D78" i="19" s="1"/>
  <c r="P72" i="19"/>
  <c r="D77" i="19" s="1"/>
  <c r="D98" i="19" s="1"/>
  <c r="AB92" i="19" s="1"/>
  <c r="AC71" i="27"/>
  <c r="Y46" i="11"/>
  <c r="R71" i="19"/>
  <c r="AD63" i="19"/>
  <c r="AD65" i="19"/>
  <c r="AD71" i="27"/>
  <c r="AF3" i="27"/>
  <c r="AF5" i="27" s="1"/>
  <c r="E76" i="19"/>
  <c r="V58" i="16"/>
  <c r="AF73" i="11"/>
  <c r="R60" i="31"/>
  <c r="R61" i="31" s="1"/>
  <c r="R72" i="31"/>
  <c r="AH51" i="11"/>
  <c r="R65" i="31"/>
  <c r="R53" i="31"/>
  <c r="Q73" i="31"/>
  <c r="Q74" i="31" s="1"/>
  <c r="R71" i="31"/>
  <c r="S46" i="31"/>
  <c r="S49" i="31" s="1"/>
  <c r="S52" i="31" s="1"/>
  <c r="T44" i="31"/>
  <c r="T42" i="31"/>
  <c r="T45" i="31"/>
  <c r="T40" i="31"/>
  <c r="T43" i="31"/>
  <c r="T41" i="31"/>
  <c r="Z57" i="18"/>
  <c r="Z58" i="18" s="1"/>
  <c r="V36" i="31"/>
  <c r="U37" i="31"/>
  <c r="Q62" i="31"/>
  <c r="AG85" i="11" s="1"/>
  <c r="Q66" i="31"/>
  <c r="Q67" i="31" s="1"/>
  <c r="Q68" i="31" s="1"/>
  <c r="AG62" i="11"/>
  <c r="AG73" i="11" s="1"/>
  <c r="W58" i="31"/>
  <c r="X57" i="31"/>
  <c r="Z44" i="27"/>
  <c r="Z46" i="27" s="1"/>
  <c r="Y47" i="27"/>
  <c r="Y49" i="27" s="1"/>
  <c r="T63" i="22"/>
  <c r="AG72" i="11"/>
  <c r="AH50" i="11"/>
  <c r="U86" i="29"/>
  <c r="U67" i="29"/>
  <c r="U79" i="29"/>
  <c r="X58" i="29"/>
  <c r="X43" i="29"/>
  <c r="X47" i="29" s="1"/>
  <c r="X45" i="29"/>
  <c r="X49" i="29" s="1"/>
  <c r="X53" i="29" s="1"/>
  <c r="Y42" i="29"/>
  <c r="X44" i="29"/>
  <c r="X48" i="29" s="1"/>
  <c r="X52" i="29" s="1"/>
  <c r="Z35" i="17" a="1"/>
  <c r="Z35" i="17" s="1"/>
  <c r="W51" i="29"/>
  <c r="W54" i="29" s="1"/>
  <c r="W46" i="29"/>
  <c r="U80" i="29"/>
  <c r="AH61" i="11"/>
  <c r="AA72" i="29"/>
  <c r="W60" i="29"/>
  <c r="W59" i="29"/>
  <c r="W61" i="29"/>
  <c r="V62" i="29"/>
  <c r="V63" i="29" s="1"/>
  <c r="V66" i="29" s="1"/>
  <c r="T87" i="29"/>
  <c r="T88" i="29" s="1"/>
  <c r="U85" i="29"/>
  <c r="V55" i="29"/>
  <c r="V74" i="29" s="1"/>
  <c r="V75" i="29" s="1"/>
  <c r="V76" i="29" s="1"/>
  <c r="AN84" i="11" s="1"/>
  <c r="T81" i="29"/>
  <c r="T82" i="29" s="1"/>
  <c r="Y60" i="22"/>
  <c r="Y61" i="22" s="1"/>
  <c r="Y59" i="11"/>
  <c r="X62" i="22"/>
  <c r="Z74" i="22"/>
  <c r="Z43" i="22"/>
  <c r="Z44" i="22" s="1"/>
  <c r="U59" i="16"/>
  <c r="W36" i="18"/>
  <c r="X34" i="18" s="1"/>
  <c r="X35" i="18" s="1"/>
  <c r="Z58" i="17"/>
  <c r="AI38" i="27"/>
  <c r="AH40" i="27"/>
  <c r="Y55" i="11"/>
  <c r="X66" i="11"/>
  <c r="AD41" i="27"/>
  <c r="AD43" i="27" s="1"/>
  <c r="F20" i="14"/>
  <c r="L68" i="16" l="1"/>
  <c r="M44" i="16"/>
  <c r="M43" i="16"/>
  <c r="M49" i="16" s="1"/>
  <c r="M46" i="16"/>
  <c r="M52" i="16" s="1"/>
  <c r="M45" i="16"/>
  <c r="M51" i="16" s="1"/>
  <c r="N40" i="16"/>
  <c r="O39" i="16"/>
  <c r="M50" i="16"/>
  <c r="AB77" i="27"/>
  <c r="AB79" i="27" s="1"/>
  <c r="L63" i="16"/>
  <c r="Z80" i="11" s="1"/>
  <c r="C92" i="11" s="1"/>
  <c r="J14" i="11"/>
  <c r="C6" i="11" s="1"/>
  <c r="L72" i="16"/>
  <c r="L74" i="16" s="1"/>
  <c r="Z57" i="11"/>
  <c r="Z68" i="11" s="1"/>
  <c r="AD59" i="19"/>
  <c r="AD60" i="19" s="1"/>
  <c r="AD61" i="19" s="1"/>
  <c r="AE56" i="19"/>
  <c r="AG51" i="19"/>
  <c r="AF54" i="19"/>
  <c r="AF55" i="19" s="1"/>
  <c r="AF62" i="19" s="1"/>
  <c r="N39" i="17"/>
  <c r="N41" i="17"/>
  <c r="N40" i="17"/>
  <c r="K72" i="16"/>
  <c r="K74" i="16" s="1"/>
  <c r="K75" i="16" s="1"/>
  <c r="Y57" i="11"/>
  <c r="AE8" i="27"/>
  <c r="AF6" i="27"/>
  <c r="AF9" i="27"/>
  <c r="AF10" i="27"/>
  <c r="AG3" i="27"/>
  <c r="AG5" i="27" s="1"/>
  <c r="F76" i="19"/>
  <c r="O38" i="17"/>
  <c r="P36" i="16"/>
  <c r="P38" i="16" s="1"/>
  <c r="AB80" i="27"/>
  <c r="AB82" i="27" s="1"/>
  <c r="L69" i="16"/>
  <c r="AA80" i="27"/>
  <c r="AA82" i="27" s="1"/>
  <c r="K69" i="16"/>
  <c r="AC67" i="19"/>
  <c r="Q73" i="19" s="1"/>
  <c r="E78" i="19" s="1"/>
  <c r="Q72" i="19"/>
  <c r="E77" i="19" s="1"/>
  <c r="E98" i="19" s="1"/>
  <c r="AC92" i="19" s="1"/>
  <c r="S71" i="19"/>
  <c r="AE63" i="19"/>
  <c r="AE65" i="19"/>
  <c r="AE71" i="27"/>
  <c r="W58" i="16"/>
  <c r="T46" i="31"/>
  <c r="T49" i="31" s="1"/>
  <c r="T52" i="31" s="1"/>
  <c r="T72" i="31" s="1"/>
  <c r="W36" i="31"/>
  <c r="V37" i="31"/>
  <c r="R66" i="31"/>
  <c r="R62" i="31"/>
  <c r="AH85" i="11" s="1"/>
  <c r="AH62" i="11"/>
  <c r="AH73" i="11" s="1"/>
  <c r="S60" i="31"/>
  <c r="S61" i="31" s="1"/>
  <c r="S65" i="31"/>
  <c r="AI51" i="11"/>
  <c r="S72" i="31"/>
  <c r="S53" i="31"/>
  <c r="R67" i="31"/>
  <c r="R68" i="31" s="1"/>
  <c r="AJ51" i="11"/>
  <c r="T60" i="31"/>
  <c r="T61" i="31" s="1"/>
  <c r="T65" i="31"/>
  <c r="AA57" i="18"/>
  <c r="AA58" i="18" s="1"/>
  <c r="S71" i="31"/>
  <c r="R73" i="31"/>
  <c r="R74" i="31" s="1"/>
  <c r="X58" i="31"/>
  <c r="Y57" i="31"/>
  <c r="U45" i="31"/>
  <c r="U41" i="31"/>
  <c r="U43" i="31"/>
  <c r="U44" i="31"/>
  <c r="U40" i="31"/>
  <c r="U42" i="31"/>
  <c r="Z47" i="27"/>
  <c r="Z49" i="27" s="1"/>
  <c r="AA44" i="27"/>
  <c r="AA46" i="27" s="1"/>
  <c r="U63" i="22"/>
  <c r="AH72" i="11"/>
  <c r="W62" i="29"/>
  <c r="W63" i="29" s="1"/>
  <c r="W66" i="29" s="1"/>
  <c r="V86" i="29"/>
  <c r="AI50" i="11"/>
  <c r="V79" i="29"/>
  <c r="V67" i="29"/>
  <c r="U87" i="29"/>
  <c r="U88" i="29" s="1"/>
  <c r="V85" i="29"/>
  <c r="AA35" i="17" a="1"/>
  <c r="AA35" i="17" s="1"/>
  <c r="X51" i="29"/>
  <c r="X54" i="29" s="1"/>
  <c r="X46" i="29"/>
  <c r="W55" i="29"/>
  <c r="W74" i="29" s="1"/>
  <c r="X61" i="29"/>
  <c r="X59" i="29"/>
  <c r="X60" i="29"/>
  <c r="V80" i="29"/>
  <c r="AI61" i="11"/>
  <c r="AB72" i="29"/>
  <c r="Y58" i="29"/>
  <c r="Y44" i="29"/>
  <c r="Y48" i="29" s="1"/>
  <c r="Y52" i="29" s="1"/>
  <c r="Y43" i="29"/>
  <c r="Y47" i="29" s="1"/>
  <c r="Y45" i="29"/>
  <c r="Y49" i="29" s="1"/>
  <c r="Y53" i="29" s="1"/>
  <c r="Z42" i="29"/>
  <c r="U81" i="29"/>
  <c r="U82" i="29" s="1"/>
  <c r="AA74" i="22"/>
  <c r="AA43" i="22"/>
  <c r="AA44" i="22" s="1"/>
  <c r="Y70" i="11"/>
  <c r="V59" i="16"/>
  <c r="X36" i="18"/>
  <c r="Y34" i="18" s="1"/>
  <c r="Y35" i="18" s="1"/>
  <c r="AA146" i="27"/>
  <c r="AA148" i="27" s="1"/>
  <c r="Z60" i="22"/>
  <c r="Z61" i="22" s="1"/>
  <c r="AB140" i="27"/>
  <c r="AB142" i="27" s="1"/>
  <c r="AA58" i="17"/>
  <c r="Y62" i="22"/>
  <c r="AI40" i="27"/>
  <c r="AJ38" i="27"/>
  <c r="AE41" i="27"/>
  <c r="AE43" i="27" s="1"/>
  <c r="Z55" i="11"/>
  <c r="Y66" i="11"/>
  <c r="F10" i="4"/>
  <c r="F31" i="14"/>
  <c r="N43" i="16" l="1"/>
  <c r="N49" i="16" s="1"/>
  <c r="N44" i="16"/>
  <c r="N50" i="16" s="1"/>
  <c r="N46" i="16"/>
  <c r="N52" i="16" s="1"/>
  <c r="N45" i="16"/>
  <c r="N51" i="16" s="1"/>
  <c r="M53" i="16"/>
  <c r="M73" i="16" s="1"/>
  <c r="P39" i="16"/>
  <c r="O40" i="16"/>
  <c r="P38" i="17"/>
  <c r="Q36" i="16"/>
  <c r="Q38" i="16" s="1"/>
  <c r="O40" i="17"/>
  <c r="O41" i="17"/>
  <c r="O39" i="17"/>
  <c r="T71" i="19"/>
  <c r="AF63" i="19"/>
  <c r="AF65" i="19"/>
  <c r="G76" i="19"/>
  <c r="AH3" i="27"/>
  <c r="AH5" i="27" s="1"/>
  <c r="AF8" i="27"/>
  <c r="AG6" i="27"/>
  <c r="AH51" i="19"/>
  <c r="AG54" i="19"/>
  <c r="AG55" i="19" s="1"/>
  <c r="AG62" i="19" s="1"/>
  <c r="L75" i="16"/>
  <c r="AG9" i="27"/>
  <c r="AG10" i="27"/>
  <c r="AF56" i="19"/>
  <c r="AE59" i="19"/>
  <c r="AE60" i="19" s="1"/>
  <c r="AE61" i="19" s="1"/>
  <c r="AF71" i="27"/>
  <c r="Y68" i="11"/>
  <c r="J15" i="11"/>
  <c r="R72" i="19"/>
  <c r="F77" i="19" s="1"/>
  <c r="F98" i="19" s="1"/>
  <c r="AD92" i="19" s="1"/>
  <c r="AD67" i="19"/>
  <c r="R73" i="19" s="1"/>
  <c r="F78" i="19" s="1"/>
  <c r="X58" i="16"/>
  <c r="T53" i="31"/>
  <c r="U46" i="31"/>
  <c r="U49" i="31" s="1"/>
  <c r="U52" i="31" s="1"/>
  <c r="S73" i="31"/>
  <c r="S74" i="31" s="1"/>
  <c r="T71" i="31"/>
  <c r="Y58" i="31"/>
  <c r="Z57" i="31"/>
  <c r="S66" i="31"/>
  <c r="S67" i="31" s="1"/>
  <c r="S68" i="31" s="1"/>
  <c r="S62" i="31"/>
  <c r="AI85" i="11" s="1"/>
  <c r="AI62" i="11"/>
  <c r="AI73" i="11" s="1"/>
  <c r="V43" i="31"/>
  <c r="V40" i="31"/>
  <c r="V44" i="31"/>
  <c r="V41" i="31"/>
  <c r="V45" i="31"/>
  <c r="V42" i="31"/>
  <c r="AB57" i="18"/>
  <c r="AB58" i="18" s="1"/>
  <c r="T62" i="31"/>
  <c r="AJ85" i="11" s="1"/>
  <c r="T66" i="31"/>
  <c r="T67" i="31" s="1"/>
  <c r="T68" i="31" s="1"/>
  <c r="AJ62" i="11"/>
  <c r="AJ73" i="11" s="1"/>
  <c r="W37" i="31"/>
  <c r="X36" i="31"/>
  <c r="AA47" i="27"/>
  <c r="AA49" i="27" s="1"/>
  <c r="V63" i="22"/>
  <c r="L11" i="11"/>
  <c r="AI72" i="11"/>
  <c r="X62" i="29"/>
  <c r="X63" i="29" s="1"/>
  <c r="X66" i="29" s="1"/>
  <c r="X55" i="29"/>
  <c r="X74" i="29" s="1"/>
  <c r="X75" i="29" s="1"/>
  <c r="X76" i="29" s="1"/>
  <c r="AP84" i="11" s="1"/>
  <c r="Z58" i="29"/>
  <c r="Z45" i="29"/>
  <c r="Z49" i="29" s="1"/>
  <c r="Z53" i="29" s="1"/>
  <c r="AA42" i="29"/>
  <c r="Z44" i="29"/>
  <c r="Z48" i="29" s="1"/>
  <c r="Z52" i="29" s="1"/>
  <c r="Z43" i="29"/>
  <c r="Z47" i="29" s="1"/>
  <c r="Y60" i="29"/>
  <c r="Y61" i="29"/>
  <c r="Y59" i="29"/>
  <c r="AB35" i="17" a="1"/>
  <c r="AB35" i="17" s="1"/>
  <c r="V81" i="29"/>
  <c r="V82" i="29" s="1"/>
  <c r="AC72" i="29"/>
  <c r="W75" i="29"/>
  <c r="W76" i="29" s="1"/>
  <c r="AO84" i="11" s="1"/>
  <c r="W86" i="29"/>
  <c r="AJ50" i="11"/>
  <c r="W79" i="29"/>
  <c r="W67" i="29"/>
  <c r="W85" i="29"/>
  <c r="V87" i="29"/>
  <c r="V88" i="29" s="1"/>
  <c r="Y51" i="29"/>
  <c r="Y54" i="29" s="1"/>
  <c r="Y46" i="29"/>
  <c r="Y36" i="18"/>
  <c r="Z34" i="18" s="1"/>
  <c r="Z35" i="18" s="1"/>
  <c r="Z62" i="22"/>
  <c r="W59" i="16"/>
  <c r="Z48" i="11"/>
  <c r="AB58" i="17"/>
  <c r="AB143" i="27"/>
  <c r="AB145" i="27" s="1"/>
  <c r="AB74" i="22"/>
  <c r="AB43" i="22"/>
  <c r="AB44" i="22" s="1"/>
  <c r="AA60" i="22"/>
  <c r="AA61" i="22" s="1"/>
  <c r="AK38" i="27"/>
  <c r="AJ40" i="27"/>
  <c r="J5" i="11"/>
  <c r="J6" i="11" s="1"/>
  <c r="C26" i="11" s="1"/>
  <c r="AB44" i="27"/>
  <c r="AB46" i="27" s="1"/>
  <c r="AA55" i="11"/>
  <c r="Z66" i="11"/>
  <c r="AF41" i="27"/>
  <c r="AF43" i="27" s="1"/>
  <c r="F56" i="7"/>
  <c r="F57" i="7" s="1"/>
  <c r="F6" i="9"/>
  <c r="F22" i="4"/>
  <c r="O46" i="16" l="1"/>
  <c r="O52" i="16" s="1"/>
  <c r="O45" i="16"/>
  <c r="O51" i="16" s="1"/>
  <c r="O44" i="16"/>
  <c r="O43" i="16"/>
  <c r="O49" i="16" s="1"/>
  <c r="M61" i="16"/>
  <c r="M62" i="16" s="1"/>
  <c r="M63" i="16" s="1"/>
  <c r="AA80" i="11" s="1"/>
  <c r="AC74" i="27"/>
  <c r="AC76" i="27" s="1"/>
  <c r="M66" i="16"/>
  <c r="AA46" i="11" s="1"/>
  <c r="AC77" i="27"/>
  <c r="AC79" i="27" s="1"/>
  <c r="N53" i="16"/>
  <c r="O50" i="16"/>
  <c r="Q39" i="16"/>
  <c r="P40" i="16"/>
  <c r="C17" i="11"/>
  <c r="J16" i="11"/>
  <c r="C28" i="11" s="1"/>
  <c r="AG8" i="27"/>
  <c r="AH6" i="27"/>
  <c r="S72" i="19"/>
  <c r="G77" i="19" s="1"/>
  <c r="G98" i="19" s="1"/>
  <c r="AE92" i="19" s="1"/>
  <c r="AE67" i="19"/>
  <c r="S73" i="19" s="1"/>
  <c r="G78" i="19" s="1"/>
  <c r="F39" i="18"/>
  <c r="F40" i="18" s="1"/>
  <c r="AF59" i="19"/>
  <c r="AF60" i="19" s="1"/>
  <c r="AF61" i="19" s="1"/>
  <c r="AG56" i="19"/>
  <c r="U71" i="19"/>
  <c r="AG63" i="19"/>
  <c r="AG65" i="19"/>
  <c r="AH9" i="27"/>
  <c r="AH10" i="27"/>
  <c r="AI3" i="27"/>
  <c r="AI5" i="27" s="1"/>
  <c r="H76" i="19"/>
  <c r="AG71" i="27"/>
  <c r="Q38" i="17"/>
  <c r="R36" i="16"/>
  <c r="R38" i="16" s="1"/>
  <c r="AI51" i="19"/>
  <c r="AH54" i="19"/>
  <c r="AH55" i="19" s="1"/>
  <c r="AH62" i="19" s="1"/>
  <c r="P39" i="17"/>
  <c r="P41" i="17"/>
  <c r="P40" i="17"/>
  <c r="Y58" i="16"/>
  <c r="AC57" i="18"/>
  <c r="V46" i="31"/>
  <c r="V49" i="31" s="1"/>
  <c r="V52" i="31" s="1"/>
  <c r="T73" i="31"/>
  <c r="T74" i="31" s="1"/>
  <c r="U71" i="31"/>
  <c r="Y36" i="31"/>
  <c r="X37" i="31"/>
  <c r="Z58" i="31"/>
  <c r="AA57" i="31"/>
  <c r="W44" i="31"/>
  <c r="W45" i="31"/>
  <c r="W41" i="31"/>
  <c r="W43" i="31"/>
  <c r="W42" i="31"/>
  <c r="W40" i="31"/>
  <c r="U60" i="31"/>
  <c r="U61" i="31" s="1"/>
  <c r="U65" i="31"/>
  <c r="AK51" i="11"/>
  <c r="U72" i="31"/>
  <c r="U53" i="31"/>
  <c r="AC44" i="27"/>
  <c r="AC46" i="27" s="1"/>
  <c r="AB47" i="27"/>
  <c r="AB49" i="27" s="1"/>
  <c r="W63" i="22"/>
  <c r="X86" i="29"/>
  <c r="AK50" i="11"/>
  <c r="X67" i="29"/>
  <c r="X79" i="29"/>
  <c r="W80" i="29"/>
  <c r="W81" i="29" s="1"/>
  <c r="W82" i="29" s="1"/>
  <c r="AJ61" i="11"/>
  <c r="AJ72" i="11" s="1"/>
  <c r="Y55" i="29"/>
  <c r="Y74" i="29" s="1"/>
  <c r="Y75" i="29" s="1"/>
  <c r="Y76" i="29" s="1"/>
  <c r="AQ84" i="11" s="1"/>
  <c r="AD72" i="29"/>
  <c r="AC35" i="17" a="1"/>
  <c r="AC35" i="17" s="1"/>
  <c r="Z46" i="29"/>
  <c r="Z51" i="29"/>
  <c r="Z54" i="29" s="1"/>
  <c r="Z60" i="29"/>
  <c r="Z61" i="29"/>
  <c r="Z59" i="29"/>
  <c r="Y62" i="29"/>
  <c r="Y63" i="29" s="1"/>
  <c r="Y66" i="29" s="1"/>
  <c r="X80" i="29"/>
  <c r="AK61" i="11"/>
  <c r="X85" i="29"/>
  <c r="W87" i="29"/>
  <c r="W88" i="29" s="1"/>
  <c r="AA58" i="29"/>
  <c r="AB42" i="29"/>
  <c r="AA45" i="29"/>
  <c r="AA49" i="29" s="1"/>
  <c r="AA53" i="29" s="1"/>
  <c r="AA43" i="29"/>
  <c r="AA47" i="29" s="1"/>
  <c r="AA44" i="29"/>
  <c r="AA48" i="29" s="1"/>
  <c r="AA52" i="29" s="1"/>
  <c r="C15" i="11"/>
  <c r="AB146" i="27"/>
  <c r="AB148" i="27" s="1"/>
  <c r="Z36" i="18"/>
  <c r="AA34" i="18" s="1"/>
  <c r="AA35" i="18" s="1"/>
  <c r="AA62" i="22"/>
  <c r="AC74" i="22"/>
  <c r="AC43" i="22"/>
  <c r="AC44" i="22" s="1"/>
  <c r="AC58" i="17"/>
  <c r="AB60" i="22"/>
  <c r="AB61" i="22" s="1"/>
  <c r="AC58" i="18"/>
  <c r="Z59" i="11"/>
  <c r="J25" i="11" s="1"/>
  <c r="C19" i="11" s="1"/>
  <c r="J24" i="11"/>
  <c r="X59" i="16"/>
  <c r="AK40" i="27"/>
  <c r="AL38" i="27"/>
  <c r="AG41" i="27"/>
  <c r="AG43" i="27" s="1"/>
  <c r="AB55" i="11"/>
  <c r="AA66" i="11"/>
  <c r="G54" i="7"/>
  <c r="F23" i="7"/>
  <c r="P45" i="16" l="1"/>
  <c r="P44" i="16"/>
  <c r="P46" i="16"/>
  <c r="P52" i="16" s="1"/>
  <c r="P43" i="16"/>
  <c r="P49" i="16" s="1"/>
  <c r="M67" i="16"/>
  <c r="M68" i="16" s="1"/>
  <c r="R39" i="16"/>
  <c r="Q40" i="16"/>
  <c r="O53" i="16"/>
  <c r="N61" i="16"/>
  <c r="N62" i="16" s="1"/>
  <c r="N73" i="16"/>
  <c r="AD74" i="27"/>
  <c r="AD76" i="27" s="1"/>
  <c r="N66" i="16"/>
  <c r="AB46" i="11" s="1"/>
  <c r="P50" i="16"/>
  <c r="P51" i="16"/>
  <c r="Q41" i="17"/>
  <c r="Q40" i="17"/>
  <c r="Q39" i="17"/>
  <c r="T72" i="19"/>
  <c r="H77" i="19" s="1"/>
  <c r="H98" i="19" s="1"/>
  <c r="AF92" i="19" s="1"/>
  <c r="AF67" i="19"/>
  <c r="T73" i="19" s="1"/>
  <c r="H78" i="19" s="1"/>
  <c r="G39" i="18"/>
  <c r="R38" i="17"/>
  <c r="S36" i="16"/>
  <c r="S38" i="16" s="1"/>
  <c r="AH8" i="27"/>
  <c r="AI6" i="27"/>
  <c r="V71" i="19"/>
  <c r="AH63" i="19"/>
  <c r="AH65" i="19"/>
  <c r="AI10" i="27"/>
  <c r="AI9" i="27"/>
  <c r="AJ51" i="19"/>
  <c r="AI54" i="19"/>
  <c r="AI55" i="19" s="1"/>
  <c r="AI62" i="19" s="1"/>
  <c r="I76" i="19"/>
  <c r="AJ3" i="27"/>
  <c r="AJ5" i="27" s="1"/>
  <c r="F46" i="18"/>
  <c r="F41" i="18"/>
  <c r="AH71" i="27"/>
  <c r="AG59" i="19"/>
  <c r="AG60" i="19" s="1"/>
  <c r="AG61" i="19" s="1"/>
  <c r="AH56" i="19"/>
  <c r="Z58" i="16"/>
  <c r="U66" i="31"/>
  <c r="U62" i="31"/>
  <c r="AK85" i="11" s="1"/>
  <c r="AK62" i="11"/>
  <c r="AK73" i="11" s="1"/>
  <c r="W46" i="31"/>
  <c r="W49" i="31" s="1"/>
  <c r="W52" i="31" s="1"/>
  <c r="X41" i="31"/>
  <c r="X40" i="31"/>
  <c r="X45" i="31"/>
  <c r="X43" i="31"/>
  <c r="X44" i="31"/>
  <c r="X42" i="31"/>
  <c r="V72" i="31"/>
  <c r="V53" i="31"/>
  <c r="V60" i="31"/>
  <c r="V61" i="31" s="1"/>
  <c r="V65" i="31"/>
  <c r="AL51" i="11"/>
  <c r="D11" i="11" s="1"/>
  <c r="K39" i="11" s="1"/>
  <c r="Y37" i="31"/>
  <c r="Z36" i="31"/>
  <c r="U67" i="31"/>
  <c r="U68" i="31" s="1"/>
  <c r="AA58" i="31"/>
  <c r="AB57" i="31"/>
  <c r="U73" i="31"/>
  <c r="U74" i="31" s="1"/>
  <c r="V71" i="31"/>
  <c r="AD57" i="18"/>
  <c r="AD58" i="18" s="1"/>
  <c r="AC47" i="27"/>
  <c r="AC49" i="27" s="1"/>
  <c r="AD44" i="27"/>
  <c r="AD46" i="27" s="1"/>
  <c r="X63" i="22"/>
  <c r="AK72" i="11"/>
  <c r="AA60" i="29"/>
  <c r="AA61" i="29"/>
  <c r="AA59" i="29"/>
  <c r="Z55" i="29"/>
  <c r="Z74" i="29" s="1"/>
  <c r="Z75" i="29" s="1"/>
  <c r="Z76" i="29" s="1"/>
  <c r="AR84" i="11" s="1"/>
  <c r="Y86" i="29"/>
  <c r="AL50" i="11"/>
  <c r="K34" i="11" s="1"/>
  <c r="Y79" i="29"/>
  <c r="Y67" i="29"/>
  <c r="AA51" i="29"/>
  <c r="AA54" i="29" s="1"/>
  <c r="AA46" i="29"/>
  <c r="Z62" i="29"/>
  <c r="Z63" i="29" s="1"/>
  <c r="Z66" i="29" s="1"/>
  <c r="Y85" i="29"/>
  <c r="X87" i="29"/>
  <c r="X88" i="29" s="1"/>
  <c r="AD35" i="17" a="1"/>
  <c r="AD35" i="17" s="1"/>
  <c r="AB58" i="29"/>
  <c r="AB44" i="29"/>
  <c r="AB48" i="29" s="1"/>
  <c r="AB52" i="29" s="1"/>
  <c r="AB43" i="29"/>
  <c r="AB47" i="29" s="1"/>
  <c r="AB45" i="29"/>
  <c r="AB49" i="29" s="1"/>
  <c r="AB53" i="29" s="1"/>
  <c r="AC42" i="29"/>
  <c r="AE72" i="29"/>
  <c r="Y80" i="29"/>
  <c r="AL61" i="11"/>
  <c r="X81" i="29"/>
  <c r="X82" i="29" s="1"/>
  <c r="AC140" i="27"/>
  <c r="AC142" i="27" s="1"/>
  <c r="Z70" i="11"/>
  <c r="AB62" i="22"/>
  <c r="Y59" i="16"/>
  <c r="C8" i="11"/>
  <c r="J26" i="11"/>
  <c r="C30" i="11" s="1"/>
  <c r="AD74" i="22"/>
  <c r="AD43" i="22"/>
  <c r="AD44" i="22" s="1"/>
  <c r="AD58" i="17"/>
  <c r="AC60" i="22"/>
  <c r="AC61" i="22" s="1"/>
  <c r="AA36" i="18"/>
  <c r="AB34" i="18" s="1"/>
  <c r="AB35" i="18" s="1"/>
  <c r="AM38" i="27"/>
  <c r="AL40" i="27"/>
  <c r="AC55" i="11"/>
  <c r="AB66" i="11"/>
  <c r="AH41" i="27"/>
  <c r="AH43" i="27" s="1"/>
  <c r="G20" i="14"/>
  <c r="AC80" i="27" l="1"/>
  <c r="AC82" i="27" s="1"/>
  <c r="M69" i="16"/>
  <c r="Q44" i="16"/>
  <c r="Q50" i="16" s="1"/>
  <c r="Q45" i="16"/>
  <c r="Q43" i="16"/>
  <c r="Q46" i="16"/>
  <c r="AA57" i="11"/>
  <c r="AA68" i="11" s="1"/>
  <c r="M72" i="16"/>
  <c r="AD77" i="27"/>
  <c r="AD79" i="27" s="1"/>
  <c r="N67" i="16"/>
  <c r="AB57" i="11" s="1"/>
  <c r="AB68" i="11" s="1"/>
  <c r="N63" i="16"/>
  <c r="AB80" i="11" s="1"/>
  <c r="O61" i="16"/>
  <c r="O62" i="16" s="1"/>
  <c r="AE74" i="27"/>
  <c r="AE76" i="27" s="1"/>
  <c r="O73" i="16"/>
  <c r="O66" i="16"/>
  <c r="AC46" i="11" s="1"/>
  <c r="Q51" i="16"/>
  <c r="Q49" i="16"/>
  <c r="Q52" i="16"/>
  <c r="P53" i="16"/>
  <c r="S39" i="16"/>
  <c r="R40" i="16"/>
  <c r="AI8" i="27"/>
  <c r="AJ6" i="27"/>
  <c r="S38" i="17"/>
  <c r="T36" i="16"/>
  <c r="T38" i="16" s="1"/>
  <c r="AJ9" i="27"/>
  <c r="AJ10" i="27"/>
  <c r="W71" i="19"/>
  <c r="AI63" i="19"/>
  <c r="AI65" i="19"/>
  <c r="AH59" i="19"/>
  <c r="AH60" i="19" s="1"/>
  <c r="AH61" i="19" s="1"/>
  <c r="AI56" i="19"/>
  <c r="AK51" i="19"/>
  <c r="AJ54" i="19"/>
  <c r="AJ55" i="19" s="1"/>
  <c r="AJ62" i="19" s="1"/>
  <c r="AI71" i="27"/>
  <c r="AG67" i="19"/>
  <c r="U73" i="19" s="1"/>
  <c r="I78" i="19" s="1"/>
  <c r="U72" i="19"/>
  <c r="I77" i="19" s="1"/>
  <c r="I98" i="19" s="1"/>
  <c r="AG92" i="19" s="1"/>
  <c r="H39" i="18"/>
  <c r="F42" i="18"/>
  <c r="F47" i="18"/>
  <c r="AK3" i="27"/>
  <c r="AK5" i="27" s="1"/>
  <c r="J76" i="19"/>
  <c r="R39" i="17"/>
  <c r="R41" i="17"/>
  <c r="R40" i="17"/>
  <c r="AA58" i="16"/>
  <c r="AB58" i="31"/>
  <c r="AC57" i="31"/>
  <c r="Y41" i="31"/>
  <c r="Y42" i="31"/>
  <c r="Y44" i="31"/>
  <c r="Y45" i="31"/>
  <c r="Y40" i="31"/>
  <c r="Y43" i="31"/>
  <c r="W53" i="31"/>
  <c r="W72" i="31"/>
  <c r="AM51" i="11"/>
  <c r="W60" i="31"/>
  <c r="W61" i="31" s="1"/>
  <c r="W65" i="31"/>
  <c r="V73" i="31"/>
  <c r="V74" i="31" s="1"/>
  <c r="W71" i="31"/>
  <c r="X46" i="31"/>
  <c r="X49" i="31" s="1"/>
  <c r="X52" i="31" s="1"/>
  <c r="AE57" i="18"/>
  <c r="Z37" i="31"/>
  <c r="AA36" i="31"/>
  <c r="V66" i="31"/>
  <c r="V67" i="31" s="1"/>
  <c r="V68" i="31" s="1"/>
  <c r="V62" i="31"/>
  <c r="AL85" i="11" s="1"/>
  <c r="D97" i="11" s="1"/>
  <c r="AL62" i="11"/>
  <c r="AD47" i="27"/>
  <c r="AD49" i="27" s="1"/>
  <c r="AE44" i="27"/>
  <c r="AE46" i="27" s="1"/>
  <c r="Y63" i="22"/>
  <c r="Z86" i="29"/>
  <c r="AM50" i="11"/>
  <c r="Z67" i="29"/>
  <c r="Z79" i="29"/>
  <c r="AL72" i="11"/>
  <c r="K35" i="11"/>
  <c r="D21" i="11" s="1"/>
  <c r="Y87" i="29"/>
  <c r="B90" i="29" s="1"/>
  <c r="Z85" i="29"/>
  <c r="Z80" i="29"/>
  <c r="AM61" i="11"/>
  <c r="AC58" i="29"/>
  <c r="AC44" i="29"/>
  <c r="AC48" i="29" s="1"/>
  <c r="AC52" i="29" s="1"/>
  <c r="AD42" i="29"/>
  <c r="AC43" i="29"/>
  <c r="AC47" i="29" s="1"/>
  <c r="AC45" i="29"/>
  <c r="AC49" i="29" s="1"/>
  <c r="AC53" i="29" s="1"/>
  <c r="AB59" i="29"/>
  <c r="AB60" i="29"/>
  <c r="AB61" i="29"/>
  <c r="Y81" i="29"/>
  <c r="Y82" i="29" s="1"/>
  <c r="AF72" i="29"/>
  <c r="AE35" i="17" a="1"/>
  <c r="AE35" i="17" s="1"/>
  <c r="D10" i="11"/>
  <c r="AA62" i="29"/>
  <c r="AA63" i="29" s="1"/>
  <c r="AA66" i="29" s="1"/>
  <c r="AB46" i="29"/>
  <c r="AB51" i="29"/>
  <c r="AB54" i="29" s="1"/>
  <c r="AA55" i="29"/>
  <c r="AA74" i="29" s="1"/>
  <c r="AA75" i="29" s="1"/>
  <c r="AA76" i="29" s="1"/>
  <c r="AS84" i="11" s="1"/>
  <c r="AC62" i="22"/>
  <c r="AB36" i="18"/>
  <c r="AC34" i="18" s="1"/>
  <c r="AC35" i="18" s="1"/>
  <c r="AE58" i="17"/>
  <c r="AE74" i="22"/>
  <c r="AE43" i="22"/>
  <c r="AE44" i="22" s="1"/>
  <c r="AD60" i="22"/>
  <c r="AD61" i="22" s="1"/>
  <c r="Z59" i="16"/>
  <c r="AC143" i="27"/>
  <c r="AC145" i="27" s="1"/>
  <c r="AE58" i="18"/>
  <c r="AA48" i="11"/>
  <c r="AM40" i="27"/>
  <c r="AN38" i="27"/>
  <c r="AI41" i="27"/>
  <c r="AI43" i="27" s="1"/>
  <c r="AD55" i="11"/>
  <c r="AC66" i="11"/>
  <c r="G10" i="4"/>
  <c r="G31" i="14"/>
  <c r="R43" i="16" l="1"/>
  <c r="R46" i="16"/>
  <c r="R52" i="16" s="1"/>
  <c r="R44" i="16"/>
  <c r="R45" i="16"/>
  <c r="R51" i="16" s="1"/>
  <c r="N68" i="16"/>
  <c r="N72" i="16"/>
  <c r="M74" i="16"/>
  <c r="M75" i="16" s="1"/>
  <c r="R50" i="16"/>
  <c r="R49" i="16"/>
  <c r="T39" i="16"/>
  <c r="S40" i="16"/>
  <c r="Q53" i="16"/>
  <c r="P66" i="16"/>
  <c r="AD46" i="11" s="1"/>
  <c r="P73" i="16"/>
  <c r="AF74" i="27"/>
  <c r="AF76" i="27" s="1"/>
  <c r="P61" i="16"/>
  <c r="P62" i="16" s="1"/>
  <c r="AE77" i="27"/>
  <c r="AE79" i="27" s="1"/>
  <c r="O63" i="16"/>
  <c r="AC80" i="11" s="1"/>
  <c r="O67" i="16"/>
  <c r="AD80" i="27"/>
  <c r="AD82" i="27" s="1"/>
  <c r="N69" i="16"/>
  <c r="AH67" i="19"/>
  <c r="V73" i="19" s="1"/>
  <c r="J78" i="19" s="1"/>
  <c r="V72" i="19"/>
  <c r="J77" i="19" s="1"/>
  <c r="J98" i="19" s="1"/>
  <c r="AH92" i="19" s="1"/>
  <c r="I39" i="18"/>
  <c r="AJ71" i="27"/>
  <c r="G40" i="18"/>
  <c r="F48" i="18"/>
  <c r="F49" i="18" s="1"/>
  <c r="F52" i="18" s="1"/>
  <c r="F43" i="18"/>
  <c r="AA137" i="27" s="1"/>
  <c r="X71" i="19"/>
  <c r="AJ63" i="19"/>
  <c r="AJ65" i="19"/>
  <c r="S41" i="17"/>
  <c r="S39" i="17"/>
  <c r="S40" i="17"/>
  <c r="AL51" i="19"/>
  <c r="AK54" i="19"/>
  <c r="AK55" i="19" s="1"/>
  <c r="AK62" i="19" s="1"/>
  <c r="AJ8" i="27"/>
  <c r="AK6" i="27"/>
  <c r="AK10" i="27"/>
  <c r="AK9" i="27"/>
  <c r="T38" i="17"/>
  <c r="U36" i="16"/>
  <c r="U38" i="16" s="1"/>
  <c r="AI59" i="19"/>
  <c r="AI60" i="19" s="1"/>
  <c r="AI61" i="19" s="1"/>
  <c r="AJ56" i="19"/>
  <c r="AL3" i="27"/>
  <c r="AL5" i="27" s="1"/>
  <c r="K76" i="19"/>
  <c r="AB58" i="16"/>
  <c r="AL73" i="11"/>
  <c r="D22" i="11"/>
  <c r="K40" i="11" s="1"/>
  <c r="K41" i="11" s="1"/>
  <c r="D33" i="11" s="1"/>
  <c r="Z43" i="31"/>
  <c r="Z40" i="31"/>
  <c r="Z44" i="31"/>
  <c r="Z45" i="31"/>
  <c r="Z42" i="31"/>
  <c r="Z41" i="31"/>
  <c r="W62" i="31"/>
  <c r="AM85" i="11" s="1"/>
  <c r="W66" i="31"/>
  <c r="AM62" i="11"/>
  <c r="AM73" i="11" s="1"/>
  <c r="X71" i="31"/>
  <c r="W73" i="31"/>
  <c r="W74" i="31" s="1"/>
  <c r="Y46" i="31"/>
  <c r="Y49" i="31" s="1"/>
  <c r="Y52" i="31" s="1"/>
  <c r="AF57" i="18"/>
  <c r="AC58" i="31"/>
  <c r="AD57" i="31"/>
  <c r="AB36" i="31"/>
  <c r="AA37" i="31"/>
  <c r="X60" i="31"/>
  <c r="X61" i="31" s="1"/>
  <c r="X65" i="31"/>
  <c r="X72" i="31"/>
  <c r="X53" i="31"/>
  <c r="AN51" i="11"/>
  <c r="W67" i="31"/>
  <c r="W68" i="31" s="1"/>
  <c r="AF44" i="27"/>
  <c r="AF46" i="27" s="1"/>
  <c r="AE47" i="27"/>
  <c r="AE49" i="27" s="1"/>
  <c r="Z63" i="22"/>
  <c r="Z81" i="29"/>
  <c r="Z82" i="29" s="1"/>
  <c r="K36" i="11"/>
  <c r="D32" i="11" s="1"/>
  <c r="AB62" i="29"/>
  <c r="AB63" i="29" s="1"/>
  <c r="AB66" i="29" s="1"/>
  <c r="AF35" i="17" a="1"/>
  <c r="AF35" i="17" s="1"/>
  <c r="AC60" i="29"/>
  <c r="AC61" i="29"/>
  <c r="AC59" i="29"/>
  <c r="AA80" i="29"/>
  <c r="AN61" i="11"/>
  <c r="AG72" i="29"/>
  <c r="AC46" i="29"/>
  <c r="AC51" i="29"/>
  <c r="AC54" i="29" s="1"/>
  <c r="AM72" i="11"/>
  <c r="AA86" i="29"/>
  <c r="AN50" i="11"/>
  <c r="AA67" i="29"/>
  <c r="AA79" i="29"/>
  <c r="AD43" i="29"/>
  <c r="AD47" i="29" s="1"/>
  <c r="AD45" i="29"/>
  <c r="AD49" i="29" s="1"/>
  <c r="AD53" i="29" s="1"/>
  <c r="AD44" i="29"/>
  <c r="AD48" i="29" s="1"/>
  <c r="AD52" i="29" s="1"/>
  <c r="AD58" i="29"/>
  <c r="AE42" i="29"/>
  <c r="AB55" i="29"/>
  <c r="AB74" i="29" s="1"/>
  <c r="AB75" i="29" s="1"/>
  <c r="AB76" i="29" s="1"/>
  <c r="AT84" i="11" s="1"/>
  <c r="Y88" i="29"/>
  <c r="Z87" i="29"/>
  <c r="AA85" i="29"/>
  <c r="AF58" i="18"/>
  <c r="AA59" i="11"/>
  <c r="AA70" i="11" s="1"/>
  <c r="AE60" i="22"/>
  <c r="AE61" i="22" s="1"/>
  <c r="AA59" i="16"/>
  <c r="AD62" i="22"/>
  <c r="AC36" i="18"/>
  <c r="AD34" i="18" s="1"/>
  <c r="AD35" i="18" s="1"/>
  <c r="AC146" i="27"/>
  <c r="AC148" i="27" s="1"/>
  <c r="AF74" i="22"/>
  <c r="AF43" i="22"/>
  <c r="AF44" i="22" s="1"/>
  <c r="AF58" i="17"/>
  <c r="AN40" i="27"/>
  <c r="AO38" i="27"/>
  <c r="AE55" i="11"/>
  <c r="AD66" i="11"/>
  <c r="AJ41" i="27"/>
  <c r="AJ43" i="27" s="1"/>
  <c r="G6" i="9"/>
  <c r="G56" i="7"/>
  <c r="G57" i="7" s="1"/>
  <c r="G23" i="7" s="1"/>
  <c r="G22" i="4"/>
  <c r="S46" i="16" l="1"/>
  <c r="S43" i="16"/>
  <c r="S45" i="16"/>
  <c r="S44" i="16"/>
  <c r="S50" i="16" s="1"/>
  <c r="O72" i="16"/>
  <c r="N74" i="16"/>
  <c r="N75" i="16" s="1"/>
  <c r="P67" i="16"/>
  <c r="AF77" i="27"/>
  <c r="AF79" i="27" s="1"/>
  <c r="P63" i="16"/>
  <c r="AD80" i="11" s="1"/>
  <c r="Q66" i="16"/>
  <c r="AE46" i="11" s="1"/>
  <c r="Q61" i="16"/>
  <c r="Q62" i="16" s="1"/>
  <c r="Q73" i="16"/>
  <c r="AG74" i="27"/>
  <c r="AG76" i="27" s="1"/>
  <c r="AC57" i="11"/>
  <c r="AC68" i="11" s="1"/>
  <c r="O68" i="16"/>
  <c r="S49" i="16"/>
  <c r="S52" i="16"/>
  <c r="S51" i="16"/>
  <c r="R53" i="16"/>
  <c r="U39" i="16"/>
  <c r="T40" i="16"/>
  <c r="AL10" i="27"/>
  <c r="AL9" i="27"/>
  <c r="AM51" i="19"/>
  <c r="AL54" i="19"/>
  <c r="AL55" i="19" s="1"/>
  <c r="AL62" i="19" s="1"/>
  <c r="AJ59" i="19"/>
  <c r="AJ60" i="19" s="1"/>
  <c r="AJ61" i="19" s="1"/>
  <c r="AK56" i="19"/>
  <c r="T40" i="17"/>
  <c r="T39" i="17"/>
  <c r="T41" i="17"/>
  <c r="F65" i="18"/>
  <c r="F53" i="18"/>
  <c r="F60" i="18"/>
  <c r="F61" i="18" s="1"/>
  <c r="I40" i="22"/>
  <c r="U38" i="17"/>
  <c r="V36" i="16"/>
  <c r="V38" i="16" s="1"/>
  <c r="AK71" i="27"/>
  <c r="AK8" i="27"/>
  <c r="AL6" i="27"/>
  <c r="AI67" i="19"/>
  <c r="W73" i="19" s="1"/>
  <c r="K78" i="19" s="1"/>
  <c r="W72" i="19"/>
  <c r="K77" i="19" s="1"/>
  <c r="K98" i="19" s="1"/>
  <c r="AI92" i="19" s="1"/>
  <c r="J39" i="18"/>
  <c r="Y71" i="19"/>
  <c r="AK63" i="19"/>
  <c r="AK65" i="19"/>
  <c r="L76" i="19"/>
  <c r="AM3" i="27"/>
  <c r="AM5" i="27" s="1"/>
  <c r="G41" i="18"/>
  <c r="G46" i="18"/>
  <c r="AC58" i="16"/>
  <c r="AC36" i="31"/>
  <c r="AB37" i="31"/>
  <c r="AG57" i="18"/>
  <c r="Y71" i="31"/>
  <c r="X73" i="31"/>
  <c r="X74" i="31" s="1"/>
  <c r="Z46" i="31"/>
  <c r="Z49" i="31" s="1"/>
  <c r="Z52" i="31" s="1"/>
  <c r="AD58" i="31"/>
  <c r="AE57" i="31"/>
  <c r="AO51" i="11"/>
  <c r="Y60" i="31"/>
  <c r="Y61" i="31" s="1"/>
  <c r="Y72" i="31"/>
  <c r="Y65" i="31"/>
  <c r="Y53" i="31"/>
  <c r="X66" i="31"/>
  <c r="X67" i="31" s="1"/>
  <c r="X68" i="31" s="1"/>
  <c r="X62" i="31"/>
  <c r="AN85" i="11" s="1"/>
  <c r="AN62" i="11"/>
  <c r="AN73" i="11" s="1"/>
  <c r="AA42" i="31"/>
  <c r="AA40" i="31"/>
  <c r="AA44" i="31"/>
  <c r="AA45" i="31"/>
  <c r="AA41" i="31"/>
  <c r="AA43" i="31"/>
  <c r="AF47" i="27"/>
  <c r="AF49" i="27" s="1"/>
  <c r="AG44" i="27"/>
  <c r="AG46" i="27" s="1"/>
  <c r="AA63" i="22"/>
  <c r="AA81" i="29"/>
  <c r="AA82" i="29" s="1"/>
  <c r="AB86" i="29"/>
  <c r="AO50" i="11"/>
  <c r="AB79" i="29"/>
  <c r="AB67" i="29"/>
  <c r="AE45" i="29"/>
  <c r="AE49" i="29" s="1"/>
  <c r="AE53" i="29" s="1"/>
  <c r="AE43" i="29"/>
  <c r="AE47" i="29" s="1"/>
  <c r="AE58" i="29"/>
  <c r="AF42" i="29"/>
  <c r="AE44" i="29"/>
  <c r="AE48" i="29" s="1"/>
  <c r="AE52" i="29" s="1"/>
  <c r="AD51" i="29"/>
  <c r="AD54" i="29" s="1"/>
  <c r="AD46" i="29"/>
  <c r="AC55" i="29"/>
  <c r="AC74" i="29" s="1"/>
  <c r="AC75" i="29" s="1"/>
  <c r="AC76" i="29" s="1"/>
  <c r="AU84" i="11" s="1"/>
  <c r="AB85" i="29"/>
  <c r="AA87" i="29"/>
  <c r="Z88" i="29"/>
  <c r="B91" i="29"/>
  <c r="AD60" i="29"/>
  <c r="AD61" i="29"/>
  <c r="AD59" i="29"/>
  <c r="AN72" i="11"/>
  <c r="AG35" i="17" a="1"/>
  <c r="AG35" i="17" s="1"/>
  <c r="AB80" i="29"/>
  <c r="AO61" i="11"/>
  <c r="AH72" i="29"/>
  <c r="AC62" i="29"/>
  <c r="AC63" i="29" s="1"/>
  <c r="AC66" i="29" s="1"/>
  <c r="AG58" i="18"/>
  <c r="AD36" i="18"/>
  <c r="AE34" i="18" s="1"/>
  <c r="AE35" i="18" s="1"/>
  <c r="AE62" i="22"/>
  <c r="AG74" i="22"/>
  <c r="AG43" i="22"/>
  <c r="AG44" i="22" s="1"/>
  <c r="AB59" i="16"/>
  <c r="AG58" i="17"/>
  <c r="AF60" i="22"/>
  <c r="AF61" i="22" s="1"/>
  <c r="AD140" i="27"/>
  <c r="AD142" i="27" s="1"/>
  <c r="AP38" i="27"/>
  <c r="AO40" i="27"/>
  <c r="AK41" i="27"/>
  <c r="AK43" i="27" s="1"/>
  <c r="AF55" i="11"/>
  <c r="AE66" i="11"/>
  <c r="T45" i="16" l="1"/>
  <c r="T44" i="16"/>
  <c r="T43" i="16"/>
  <c r="T49" i="16" s="1"/>
  <c r="T46" i="16"/>
  <c r="T52" i="16" s="1"/>
  <c r="O74" i="16"/>
  <c r="O75" i="16" s="1"/>
  <c r="P72" i="16"/>
  <c r="V39" i="16"/>
  <c r="U40" i="16"/>
  <c r="R61" i="16"/>
  <c r="R62" i="16" s="1"/>
  <c r="AH74" i="27"/>
  <c r="AH76" i="27" s="1"/>
  <c r="R66" i="16"/>
  <c r="R73" i="16"/>
  <c r="O69" i="16"/>
  <c r="AE80" i="27"/>
  <c r="AE82" i="27" s="1"/>
  <c r="AG77" i="27"/>
  <c r="AG79" i="27" s="1"/>
  <c r="Q67" i="16"/>
  <c r="Q63" i="16"/>
  <c r="AE80" i="11" s="1"/>
  <c r="AD57" i="11"/>
  <c r="AD68" i="11" s="1"/>
  <c r="P68" i="16"/>
  <c r="S53" i="16"/>
  <c r="T51" i="16"/>
  <c r="T50" i="16"/>
  <c r="M76" i="19"/>
  <c r="AN3" i="27"/>
  <c r="AN5" i="27" s="1"/>
  <c r="AL71" i="27"/>
  <c r="AJ67" i="19"/>
  <c r="X73" i="19" s="1"/>
  <c r="L78" i="19" s="1"/>
  <c r="X72" i="19"/>
  <c r="L77" i="19" s="1"/>
  <c r="L98" i="19" s="1"/>
  <c r="AJ92" i="19" s="1"/>
  <c r="K39" i="18"/>
  <c r="G42" i="18"/>
  <c r="G47" i="18"/>
  <c r="AL8" i="27"/>
  <c r="AM6" i="27"/>
  <c r="U41" i="17"/>
  <c r="U39" i="17"/>
  <c r="U40" i="17"/>
  <c r="F72" i="18"/>
  <c r="Z71" i="19"/>
  <c r="AL63" i="19"/>
  <c r="AL65" i="19"/>
  <c r="AM10" i="27"/>
  <c r="AM9" i="27"/>
  <c r="I42" i="22"/>
  <c r="I41" i="22"/>
  <c r="I48" i="22" s="1"/>
  <c r="I49" i="22" s="1"/>
  <c r="I50" i="22" s="1"/>
  <c r="I51" i="22" s="1"/>
  <c r="AN51" i="19"/>
  <c r="AM54" i="19"/>
  <c r="AM55" i="19" s="1"/>
  <c r="AM62" i="19" s="1"/>
  <c r="J40" i="22"/>
  <c r="V38" i="17"/>
  <c r="W36" i="16"/>
  <c r="W38" i="16" s="1"/>
  <c r="F62" i="18"/>
  <c r="AG82" i="11" s="1"/>
  <c r="F66" i="18"/>
  <c r="F71" i="18" s="1"/>
  <c r="F73" i="18" s="1"/>
  <c r="F74" i="18" s="1"/>
  <c r="AK59" i="19"/>
  <c r="AK60" i="19" s="1"/>
  <c r="AK61" i="19" s="1"/>
  <c r="AL56" i="19"/>
  <c r="AD58" i="16"/>
  <c r="Y66" i="31"/>
  <c r="Y67" i="31" s="1"/>
  <c r="Y68" i="31" s="1"/>
  <c r="Y62" i="31"/>
  <c r="AO85" i="11" s="1"/>
  <c r="AO62" i="11"/>
  <c r="AO73" i="11" s="1"/>
  <c r="Z60" i="31"/>
  <c r="Z61" i="31" s="1"/>
  <c r="AP51" i="11"/>
  <c r="Z72" i="31"/>
  <c r="Z53" i="31"/>
  <c r="Z65" i="31"/>
  <c r="AH57" i="18"/>
  <c r="AE58" i="31"/>
  <c r="AF57" i="31"/>
  <c r="AB43" i="31"/>
  <c r="AB44" i="31"/>
  <c r="AB42" i="31"/>
  <c r="AB45" i="31"/>
  <c r="AB41" i="31"/>
  <c r="AB40" i="31"/>
  <c r="AA46" i="31"/>
  <c r="AA49" i="31" s="1"/>
  <c r="AA52" i="31" s="1"/>
  <c r="Y73" i="31"/>
  <c r="B76" i="31" s="1"/>
  <c r="Z71" i="31"/>
  <c r="AC37" i="31"/>
  <c r="AD36" i="31"/>
  <c r="AG47" i="27"/>
  <c r="AG49" i="27" s="1"/>
  <c r="AH44" i="27"/>
  <c r="AH46" i="27" s="1"/>
  <c r="AB63" i="22"/>
  <c r="AA88" i="29"/>
  <c r="AB81" i="29"/>
  <c r="AB82" i="29" s="1"/>
  <c r="AD62" i="29"/>
  <c r="AD63" i="29" s="1"/>
  <c r="AD66" i="29" s="1"/>
  <c r="AC86" i="29"/>
  <c r="AP50" i="11"/>
  <c r="AC67" i="29"/>
  <c r="AC79" i="29"/>
  <c r="AE61" i="29"/>
  <c r="AE59" i="29"/>
  <c r="AE60" i="29"/>
  <c r="AI72" i="29"/>
  <c r="AC85" i="29"/>
  <c r="AB87" i="29"/>
  <c r="AD55" i="29"/>
  <c r="AD74" i="29" s="1"/>
  <c r="AD75" i="29" s="1"/>
  <c r="AD76" i="29" s="1"/>
  <c r="AV84" i="11" s="1"/>
  <c r="AE51" i="29"/>
  <c r="AE54" i="29" s="1"/>
  <c r="AE46" i="29"/>
  <c r="AO72" i="11"/>
  <c r="AH35" i="17" a="1"/>
  <c r="AH35" i="17" s="1"/>
  <c r="AC80" i="29"/>
  <c r="AP61" i="11"/>
  <c r="AF43" i="29"/>
  <c r="AF47" i="29" s="1"/>
  <c r="AF44" i="29"/>
  <c r="AF48" i="29" s="1"/>
  <c r="AF52" i="29" s="1"/>
  <c r="AF58" i="29"/>
  <c r="AG42" i="29"/>
  <c r="AF45" i="29"/>
  <c r="AF49" i="29" s="1"/>
  <c r="AF53" i="29" s="1"/>
  <c r="AB48" i="11"/>
  <c r="AH58" i="17"/>
  <c r="AD143" i="27"/>
  <c r="AD145" i="27" s="1"/>
  <c r="AF62" i="22"/>
  <c r="AC59" i="16"/>
  <c r="AH74" i="22"/>
  <c r="AH43" i="22"/>
  <c r="AH44" i="22" s="1"/>
  <c r="AG60" i="22"/>
  <c r="AG61" i="22" s="1"/>
  <c r="AE36" i="18"/>
  <c r="AF34" i="18" s="1"/>
  <c r="AF35" i="18" s="1"/>
  <c r="AH58" i="18"/>
  <c r="AQ38" i="27"/>
  <c r="AP40" i="27"/>
  <c r="AG55" i="11"/>
  <c r="AF66" i="11"/>
  <c r="AL41" i="27"/>
  <c r="AL43" i="27" s="1"/>
  <c r="U44" i="16" l="1"/>
  <c r="U50" i="16" s="1"/>
  <c r="U43" i="16"/>
  <c r="U49" i="16" s="1"/>
  <c r="U45" i="16"/>
  <c r="U51" i="16" s="1"/>
  <c r="U46" i="16"/>
  <c r="U52" i="16" s="1"/>
  <c r="T53" i="16"/>
  <c r="P74" i="16"/>
  <c r="P75" i="16" s="1"/>
  <c r="Q72" i="16"/>
  <c r="R67" i="16"/>
  <c r="AF57" i="11" s="1"/>
  <c r="AH77" i="27"/>
  <c r="AH79" i="27" s="1"/>
  <c r="R63" i="16"/>
  <c r="AF80" i="11" s="1"/>
  <c r="S66" i="16"/>
  <c r="AG46" i="11" s="1"/>
  <c r="S73" i="16"/>
  <c r="AI74" i="27"/>
  <c r="AI76" i="27" s="1"/>
  <c r="S61" i="16"/>
  <c r="S62" i="16" s="1"/>
  <c r="AE57" i="11"/>
  <c r="AE68" i="11" s="1"/>
  <c r="Q68" i="16"/>
  <c r="AF80" i="27"/>
  <c r="AF82" i="27" s="1"/>
  <c r="P69" i="16"/>
  <c r="AF46" i="11"/>
  <c r="W39" i="16"/>
  <c r="V40" i="16"/>
  <c r="AA71" i="19"/>
  <c r="AM63" i="19"/>
  <c r="AM65" i="19"/>
  <c r="AM8" i="27"/>
  <c r="AN6" i="27"/>
  <c r="AN10" i="27"/>
  <c r="AN9" i="27"/>
  <c r="AL59" i="19"/>
  <c r="AL60" i="19" s="1"/>
  <c r="AL61" i="19" s="1"/>
  <c r="AM56" i="19"/>
  <c r="AM71" i="27"/>
  <c r="AO51" i="19"/>
  <c r="AN54" i="19"/>
  <c r="AN55" i="19" s="1"/>
  <c r="AN62" i="19" s="1"/>
  <c r="G43" i="18"/>
  <c r="AB137" i="27" s="1"/>
  <c r="H40" i="18"/>
  <c r="G48" i="18"/>
  <c r="G49" i="18" s="1"/>
  <c r="G52" i="18" s="1"/>
  <c r="K40" i="22"/>
  <c r="W38" i="17"/>
  <c r="X36" i="16"/>
  <c r="X38" i="16" s="1"/>
  <c r="AK67" i="19"/>
  <c r="Y73" i="19" s="1"/>
  <c r="M78" i="19" s="1"/>
  <c r="Y72" i="19"/>
  <c r="M77" i="19" s="1"/>
  <c r="L39" i="18"/>
  <c r="V39" i="17"/>
  <c r="V40" i="17"/>
  <c r="V41" i="17"/>
  <c r="J42" i="22"/>
  <c r="J41" i="22"/>
  <c r="J48" i="22" s="1"/>
  <c r="J49" i="22" s="1"/>
  <c r="J50" i="22" s="1"/>
  <c r="J51" i="22" s="1"/>
  <c r="I54" i="22"/>
  <c r="I55" i="22" s="1"/>
  <c r="I45" i="22"/>
  <c r="AO3" i="27"/>
  <c r="AO5" i="27" s="1"/>
  <c r="B81" i="19"/>
  <c r="F67" i="18"/>
  <c r="F68" i="18" s="1"/>
  <c r="AE58" i="16"/>
  <c r="AA71" i="31"/>
  <c r="Z73" i="31"/>
  <c r="Y74" i="31"/>
  <c r="AE36" i="31"/>
  <c r="AD37" i="31"/>
  <c r="AA60" i="31"/>
  <c r="AA61" i="31" s="1"/>
  <c r="AA72" i="31"/>
  <c r="AQ51" i="11"/>
  <c r="AA65" i="31"/>
  <c r="AA53" i="31"/>
  <c r="AF58" i="31"/>
  <c r="AG57" i="31"/>
  <c r="AI57" i="18"/>
  <c r="AI58" i="18" s="1"/>
  <c r="AC42" i="31"/>
  <c r="AC40" i="31"/>
  <c r="AC45" i="31"/>
  <c r="AC44" i="31"/>
  <c r="AC43" i="31"/>
  <c r="AC41" i="31"/>
  <c r="AB46" i="31"/>
  <c r="AB49" i="31" s="1"/>
  <c r="AB52" i="31" s="1"/>
  <c r="Z66" i="31"/>
  <c r="Z67" i="31" s="1"/>
  <c r="Z68" i="31" s="1"/>
  <c r="Z62" i="31"/>
  <c r="AP85" i="11" s="1"/>
  <c r="AP62" i="11"/>
  <c r="AP73" i="11" s="1"/>
  <c r="AH47" i="27"/>
  <c r="AH49" i="27" s="1"/>
  <c r="AI44" i="27"/>
  <c r="AI46" i="27" s="1"/>
  <c r="AC63" i="22"/>
  <c r="AB88" i="29"/>
  <c r="AE62" i="29"/>
  <c r="AE63" i="29" s="1"/>
  <c r="AE66" i="29" s="1"/>
  <c r="AG43" i="29"/>
  <c r="AG47" i="29" s="1"/>
  <c r="AG44" i="29"/>
  <c r="AG48" i="29" s="1"/>
  <c r="AG52" i="29" s="1"/>
  <c r="AG58" i="29"/>
  <c r="AH42" i="29"/>
  <c r="AG45" i="29"/>
  <c r="AG49" i="29" s="1"/>
  <c r="AG53" i="29" s="1"/>
  <c r="AP72" i="11"/>
  <c r="AD80" i="29"/>
  <c r="AQ61" i="11"/>
  <c r="AJ72" i="29"/>
  <c r="AF51" i="29"/>
  <c r="AF54" i="29" s="1"/>
  <c r="AF46" i="29"/>
  <c r="AE55" i="29"/>
  <c r="AE74" i="29" s="1"/>
  <c r="AE75" i="29" s="1"/>
  <c r="AE76" i="29" s="1"/>
  <c r="AW84" i="11" s="1"/>
  <c r="AC87" i="29"/>
  <c r="AD85" i="29"/>
  <c r="AF61" i="29"/>
  <c r="AF59" i="29"/>
  <c r="AF60" i="29"/>
  <c r="AD86" i="29"/>
  <c r="AQ50" i="11"/>
  <c r="AD79" i="29"/>
  <c r="AD67" i="29"/>
  <c r="AC81" i="29"/>
  <c r="AC82" i="29" s="1"/>
  <c r="AI35" i="17" a="1"/>
  <c r="AI35" i="17" s="1"/>
  <c r="AF36" i="18"/>
  <c r="AG34" i="18" s="1"/>
  <c r="AG35" i="18" s="1"/>
  <c r="AG62" i="22"/>
  <c r="AB59" i="11"/>
  <c r="AB70" i="11" s="1"/>
  <c r="AI74" i="22"/>
  <c r="AI43" i="22"/>
  <c r="AI44" i="22" s="1"/>
  <c r="AD59" i="16"/>
  <c r="AI58" i="17"/>
  <c r="AH60" i="22"/>
  <c r="AH61" i="22" s="1"/>
  <c r="AR38" i="27"/>
  <c r="AQ40" i="27"/>
  <c r="AM41" i="27"/>
  <c r="AM43" i="27" s="1"/>
  <c r="AH55" i="11"/>
  <c r="AG66" i="11"/>
  <c r="U53" i="16" l="1"/>
  <c r="U61" i="16" s="1"/>
  <c r="U62" i="16" s="1"/>
  <c r="AF68" i="11"/>
  <c r="V43" i="16"/>
  <c r="V46" i="16"/>
  <c r="V52" i="16" s="1"/>
  <c r="V45" i="16"/>
  <c r="V51" i="16" s="1"/>
  <c r="V44" i="16"/>
  <c r="V50" i="16" s="1"/>
  <c r="T66" i="16"/>
  <c r="AH46" i="11" s="1"/>
  <c r="AJ74" i="27"/>
  <c r="AJ76" i="27" s="1"/>
  <c r="T61" i="16"/>
  <c r="T62" i="16" s="1"/>
  <c r="T73" i="16"/>
  <c r="Q74" i="16"/>
  <c r="Q75" i="16" s="1"/>
  <c r="R72" i="16"/>
  <c r="U73" i="16"/>
  <c r="AK74" i="27"/>
  <c r="AK76" i="27" s="1"/>
  <c r="V49" i="16"/>
  <c r="S63" i="16"/>
  <c r="AG80" i="11" s="1"/>
  <c r="AI77" i="27"/>
  <c r="AI79" i="27" s="1"/>
  <c r="S67" i="16"/>
  <c r="AG57" i="11" s="1"/>
  <c r="AG68" i="11" s="1"/>
  <c r="U66" i="16"/>
  <c r="AI46" i="11" s="1"/>
  <c r="X39" i="16"/>
  <c r="W40" i="16"/>
  <c r="S68" i="16"/>
  <c r="R68" i="16"/>
  <c r="AG80" i="27"/>
  <c r="AG82" i="27" s="1"/>
  <c r="Q69" i="16"/>
  <c r="I56" i="22"/>
  <c r="I57" i="22" s="1"/>
  <c r="I67" i="22" s="1"/>
  <c r="I66" i="22"/>
  <c r="AL170" i="27" s="1"/>
  <c r="E24" i="7"/>
  <c r="M98" i="19"/>
  <c r="AK92" i="19" s="1"/>
  <c r="K42" i="22"/>
  <c r="K41" i="22"/>
  <c r="K48" i="22" s="1"/>
  <c r="K49" i="22" s="1"/>
  <c r="K50" i="22" s="1"/>
  <c r="K51" i="22" s="1"/>
  <c r="AB71" i="19"/>
  <c r="AN63" i="19"/>
  <c r="AN65" i="19"/>
  <c r="AL67" i="19"/>
  <c r="Z73" i="19" s="1"/>
  <c r="B83" i="19" s="1"/>
  <c r="Z72" i="19"/>
  <c r="B82" i="19" s="1"/>
  <c r="B101" i="19" s="1"/>
  <c r="AL92" i="19" s="1"/>
  <c r="M39" i="18"/>
  <c r="AK77" i="27"/>
  <c r="AK79" i="27" s="1"/>
  <c r="U63" i="16"/>
  <c r="AI80" i="11" s="1"/>
  <c r="U67" i="16"/>
  <c r="AI57" i="11" s="1"/>
  <c r="G60" i="18"/>
  <c r="G61" i="18" s="1"/>
  <c r="G65" i="18"/>
  <c r="G72" i="18" s="1"/>
  <c r="G53" i="18"/>
  <c r="AP51" i="19"/>
  <c r="AO54" i="19"/>
  <c r="AO55" i="19" s="1"/>
  <c r="AO62" i="19" s="1"/>
  <c r="AO10" i="27"/>
  <c r="AO9" i="27"/>
  <c r="J54" i="22"/>
  <c r="J55" i="22" s="1"/>
  <c r="J45" i="22"/>
  <c r="AN71" i="27"/>
  <c r="H46" i="18"/>
  <c r="H41" i="18"/>
  <c r="W41" i="17"/>
  <c r="W39" i="17"/>
  <c r="W40" i="17"/>
  <c r="AM59" i="19"/>
  <c r="AM60" i="19" s="1"/>
  <c r="AM61" i="19" s="1"/>
  <c r="AN56" i="19"/>
  <c r="AN8" i="27"/>
  <c r="AO6" i="27"/>
  <c r="AO8" i="27" s="1"/>
  <c r="AP3" i="27"/>
  <c r="C81" i="19"/>
  <c r="AF58" i="16"/>
  <c r="AA62" i="31"/>
  <c r="AQ85" i="11" s="1"/>
  <c r="AA66" i="31"/>
  <c r="AA67" i="31" s="1"/>
  <c r="AA68" i="31" s="1"/>
  <c r="AQ62" i="11"/>
  <c r="Z74" i="31"/>
  <c r="B77" i="31"/>
  <c r="AB60" i="31"/>
  <c r="AB61" i="31" s="1"/>
  <c r="AB72" i="31"/>
  <c r="AR51" i="11"/>
  <c r="AB53" i="31"/>
  <c r="AB65" i="31"/>
  <c r="AJ57" i="18"/>
  <c r="AJ58" i="18" s="1"/>
  <c r="AD43" i="31"/>
  <c r="AD40" i="31"/>
  <c r="AD45" i="31"/>
  <c r="AD42" i="31"/>
  <c r="AD44" i="31"/>
  <c r="AD41" i="31"/>
  <c r="AC46" i="31"/>
  <c r="AC49" i="31" s="1"/>
  <c r="AC52" i="31" s="1"/>
  <c r="AG58" i="31"/>
  <c r="AH57" i="31"/>
  <c r="AF36" i="31"/>
  <c r="AE37" i="31"/>
  <c r="AA73" i="31"/>
  <c r="AB71" i="31"/>
  <c r="AJ44" i="27"/>
  <c r="AJ46" i="27" s="1"/>
  <c r="AI47" i="27"/>
  <c r="AI49" i="27" s="1"/>
  <c r="AC88" i="29"/>
  <c r="AD63" i="22"/>
  <c r="AJ35" i="17" a="1"/>
  <c r="AJ35" i="17" s="1"/>
  <c r="AQ72" i="11"/>
  <c r="AD81" i="29"/>
  <c r="AD82" i="29" s="1"/>
  <c r="AF55" i="29"/>
  <c r="AF74" i="29" s="1"/>
  <c r="AF75" i="29" s="1"/>
  <c r="AF76" i="29" s="1"/>
  <c r="AX84" i="11" s="1"/>
  <c r="E96" i="11" s="1"/>
  <c r="AF62" i="29"/>
  <c r="AF63" i="29" s="1"/>
  <c r="AF66" i="29" s="1"/>
  <c r="AE80" i="29"/>
  <c r="AR61" i="11"/>
  <c r="AK72" i="29"/>
  <c r="AH43" i="29"/>
  <c r="AH47" i="29" s="1"/>
  <c r="AI42" i="29"/>
  <c r="AH58" i="29"/>
  <c r="AH44" i="29"/>
  <c r="AH48" i="29" s="1"/>
  <c r="AH52" i="29" s="1"/>
  <c r="AH45" i="29"/>
  <c r="AH49" i="29" s="1"/>
  <c r="AH53" i="29" s="1"/>
  <c r="AE86" i="29"/>
  <c r="AR50" i="11"/>
  <c r="AE79" i="29"/>
  <c r="AE67" i="29"/>
  <c r="AG59" i="29"/>
  <c r="AG60" i="29"/>
  <c r="AG61" i="29"/>
  <c r="AE85" i="29"/>
  <c r="AD87" i="29"/>
  <c r="AG51" i="29"/>
  <c r="AG54" i="29" s="1"/>
  <c r="AG46" i="29"/>
  <c r="AI60" i="22"/>
  <c r="AI61" i="22" s="1"/>
  <c r="AJ58" i="17"/>
  <c r="AE59" i="16"/>
  <c r="AD146" i="27"/>
  <c r="AD148" i="27" s="1"/>
  <c r="AH62" i="22"/>
  <c r="AG36" i="18"/>
  <c r="AH34" i="18" s="1"/>
  <c r="AH35" i="18" s="1"/>
  <c r="AE140" i="27"/>
  <c r="AE142" i="27" s="1"/>
  <c r="AJ74" i="22"/>
  <c r="AJ43" i="22"/>
  <c r="AJ44" i="22" s="1"/>
  <c r="AR40" i="27"/>
  <c r="AS38" i="27"/>
  <c r="AI55" i="11"/>
  <c r="AH66" i="11"/>
  <c r="W46" i="16" l="1"/>
  <c r="W52" i="16" s="1"/>
  <c r="W44" i="16"/>
  <c r="W45" i="16"/>
  <c r="W51" i="16" s="1"/>
  <c r="W43" i="16"/>
  <c r="W49" i="16" s="1"/>
  <c r="T67" i="16"/>
  <c r="AJ77" i="27"/>
  <c r="AJ79" i="27" s="1"/>
  <c r="T63" i="16"/>
  <c r="AH80" i="11" s="1"/>
  <c r="R74" i="16"/>
  <c r="R75" i="16" s="1"/>
  <c r="S72" i="16"/>
  <c r="AI80" i="27"/>
  <c r="AI82" i="27" s="1"/>
  <c r="S69" i="16"/>
  <c r="V53" i="16"/>
  <c r="W50" i="16"/>
  <c r="X40" i="16"/>
  <c r="AH80" i="27"/>
  <c r="AH82" i="27" s="1"/>
  <c r="R69" i="16"/>
  <c r="AI68" i="11"/>
  <c r="AA72" i="19"/>
  <c r="C82" i="19" s="1"/>
  <c r="C101" i="19" s="1"/>
  <c r="AM92" i="19" s="1"/>
  <c r="AM67" i="19"/>
  <c r="AA73" i="19" s="1"/>
  <c r="C83" i="19" s="1"/>
  <c r="N39" i="18"/>
  <c r="AC71" i="19"/>
  <c r="AO63" i="19"/>
  <c r="AO65" i="19"/>
  <c r="G62" i="18"/>
  <c r="AH82" i="11" s="1"/>
  <c r="G66" i="18"/>
  <c r="L40" i="22"/>
  <c r="X38" i="17"/>
  <c r="Y36" i="16"/>
  <c r="Y38" i="16" s="1"/>
  <c r="Y39" i="16" s="1"/>
  <c r="H42" i="18"/>
  <c r="H47" i="18"/>
  <c r="J56" i="22"/>
  <c r="J57" i="22" s="1"/>
  <c r="J67" i="22" s="1"/>
  <c r="J66" i="22"/>
  <c r="AM170" i="27" s="1"/>
  <c r="AQ51" i="19"/>
  <c r="AP54" i="19"/>
  <c r="AP55" i="19" s="1"/>
  <c r="AP62" i="19" s="1"/>
  <c r="M40" i="22"/>
  <c r="Y38" i="17"/>
  <c r="Z36" i="16"/>
  <c r="Z38" i="16" s="1"/>
  <c r="D81" i="19"/>
  <c r="AQ3" i="27"/>
  <c r="AQ5" i="27" s="1"/>
  <c r="AP6" i="27"/>
  <c r="AP5" i="27"/>
  <c r="U68" i="16"/>
  <c r="AN59" i="19"/>
  <c r="AN60" i="19" s="1"/>
  <c r="AN61" i="19" s="1"/>
  <c r="AO56" i="19"/>
  <c r="K54" i="22"/>
  <c r="K55" i="22" s="1"/>
  <c r="K45" i="22"/>
  <c r="AL173" i="27"/>
  <c r="AL175" i="27" s="1"/>
  <c r="AJ49" i="11"/>
  <c r="I69" i="22"/>
  <c r="I76" i="22"/>
  <c r="I77" i="22" s="1"/>
  <c r="I68" i="22"/>
  <c r="I81" i="22"/>
  <c r="AG58" i="16"/>
  <c r="AF37" i="31"/>
  <c r="AG36" i="31"/>
  <c r="AD46" i="31"/>
  <c r="AD49" i="31" s="1"/>
  <c r="AD52" i="31" s="1"/>
  <c r="AK57" i="18"/>
  <c r="AK58" i="18" s="1"/>
  <c r="AQ73" i="11"/>
  <c r="AC71" i="31"/>
  <c r="AB73" i="31"/>
  <c r="AH58" i="31"/>
  <c r="AI57" i="31"/>
  <c r="AB66" i="31"/>
  <c r="AB67" i="31" s="1"/>
  <c r="AB68" i="31" s="1"/>
  <c r="AB62" i="31"/>
  <c r="AR85" i="11" s="1"/>
  <c r="AR62" i="11"/>
  <c r="AR73" i="11" s="1"/>
  <c r="AE41" i="31"/>
  <c r="AE45" i="31"/>
  <c r="AE42" i="31"/>
  <c r="AE40" i="31"/>
  <c r="AE44" i="31"/>
  <c r="AE43" i="31"/>
  <c r="AC60" i="31"/>
  <c r="AC61" i="31" s="1"/>
  <c r="AS51" i="11"/>
  <c r="AC65" i="31"/>
  <c r="AC53" i="31"/>
  <c r="AC72" i="31"/>
  <c r="AA74" i="31"/>
  <c r="AK44" i="27"/>
  <c r="AK46" i="27" s="1"/>
  <c r="AJ47" i="27"/>
  <c r="AJ49" i="27" s="1"/>
  <c r="AD88" i="29"/>
  <c r="AE63" i="22"/>
  <c r="AK35" i="17" a="1"/>
  <c r="AK35" i="17" s="1"/>
  <c r="AG62" i="29"/>
  <c r="AG63" i="29" s="1"/>
  <c r="AG66" i="29" s="1"/>
  <c r="AE81" i="29"/>
  <c r="AE82" i="29" s="1"/>
  <c r="AF86" i="29"/>
  <c r="AS50" i="11"/>
  <c r="AF79" i="29"/>
  <c r="AF67" i="29"/>
  <c r="AE87" i="29"/>
  <c r="AE88" i="29" s="1"/>
  <c r="AF85" i="29"/>
  <c r="AI45" i="29"/>
  <c r="AI49" i="29" s="1"/>
  <c r="AI53" i="29" s="1"/>
  <c r="AI58" i="29"/>
  <c r="AJ42" i="29"/>
  <c r="AI43" i="29"/>
  <c r="AI47" i="29" s="1"/>
  <c r="AI44" i="29"/>
  <c r="AI48" i="29" s="1"/>
  <c r="AI52" i="29" s="1"/>
  <c r="AF80" i="29"/>
  <c r="AS61" i="11"/>
  <c r="AH51" i="29"/>
  <c r="AH54" i="29" s="1"/>
  <c r="AH46" i="29"/>
  <c r="AR72" i="11"/>
  <c r="AG55" i="29"/>
  <c r="AG74" i="29" s="1"/>
  <c r="AG75" i="29" s="1"/>
  <c r="AG76" i="29" s="1"/>
  <c r="AY84" i="11" s="1"/>
  <c r="AL72" i="29"/>
  <c r="AH59" i="29"/>
  <c r="AH60" i="29"/>
  <c r="AH61" i="29"/>
  <c r="AK58" i="17"/>
  <c r="AI62" i="22"/>
  <c r="AK74" i="22"/>
  <c r="AK43" i="22"/>
  <c r="AK44" i="22" s="1"/>
  <c r="AJ60" i="22"/>
  <c r="AJ61" i="22" s="1"/>
  <c r="AC48" i="11"/>
  <c r="AE143" i="27"/>
  <c r="AE145" i="27" s="1"/>
  <c r="AF59" i="16"/>
  <c r="AH36" i="18"/>
  <c r="AI34" i="18" s="1"/>
  <c r="AI35" i="18" s="1"/>
  <c r="AT38" i="27"/>
  <c r="AS40" i="27"/>
  <c r="K4" i="11"/>
  <c r="D4" i="11" s="1"/>
  <c r="AN41" i="27"/>
  <c r="AN43" i="27" s="1"/>
  <c r="AJ55" i="11"/>
  <c r="AI66" i="11"/>
  <c r="AO41" i="27"/>
  <c r="AO43" i="27" s="1"/>
  <c r="X45" i="16" l="1"/>
  <c r="X51" i="16" s="1"/>
  <c r="X44" i="16"/>
  <c r="X43" i="16"/>
  <c r="X49" i="16" s="1"/>
  <c r="X46" i="16"/>
  <c r="T72" i="16"/>
  <c r="S74" i="16"/>
  <c r="S75" i="16" s="1"/>
  <c r="AH57" i="11"/>
  <c r="AH68" i="11" s="1"/>
  <c r="T68" i="16"/>
  <c r="Z39" i="16"/>
  <c r="Y40" i="16"/>
  <c r="W53" i="16"/>
  <c r="V61" i="16"/>
  <c r="V62" i="16" s="1"/>
  <c r="AL74" i="27"/>
  <c r="AL76" i="27" s="1"/>
  <c r="V66" i="16"/>
  <c r="AJ46" i="11" s="1"/>
  <c r="V73" i="16"/>
  <c r="X52" i="16"/>
  <c r="X50" i="16"/>
  <c r="AD71" i="19"/>
  <c r="AP63" i="19"/>
  <c r="AP65" i="19"/>
  <c r="L42" i="22"/>
  <c r="L41" i="22"/>
  <c r="L48" i="22" s="1"/>
  <c r="L49" i="22" s="1"/>
  <c r="L50" i="22" s="1"/>
  <c r="L51" i="22" s="1"/>
  <c r="I82" i="22"/>
  <c r="I87" i="22" s="1"/>
  <c r="I78" i="22"/>
  <c r="AJ83" i="11" s="1"/>
  <c r="AL176" i="27"/>
  <c r="AL178" i="27" s="1"/>
  <c r="AJ60" i="11"/>
  <c r="K56" i="22"/>
  <c r="K57" i="22" s="1"/>
  <c r="K67" i="22" s="1"/>
  <c r="K66" i="22"/>
  <c r="AN170" i="27" s="1"/>
  <c r="AK80" i="27"/>
  <c r="AK82" i="27" s="1"/>
  <c r="U69" i="16"/>
  <c r="I88" i="22"/>
  <c r="AP9" i="27"/>
  <c r="AP10" i="27"/>
  <c r="AP71" i="27"/>
  <c r="AR51" i="19"/>
  <c r="AQ54" i="19"/>
  <c r="AQ55" i="19" s="1"/>
  <c r="AQ62" i="19" s="1"/>
  <c r="H48" i="18"/>
  <c r="H49" i="18" s="1"/>
  <c r="H52" i="18" s="1"/>
  <c r="H43" i="18"/>
  <c r="AC137" i="27" s="1"/>
  <c r="I40" i="18"/>
  <c r="N40" i="22"/>
  <c r="Z38" i="17"/>
  <c r="AA36" i="16"/>
  <c r="AA38" i="16" s="1"/>
  <c r="AO59" i="19"/>
  <c r="AO60" i="19" s="1"/>
  <c r="AO61" i="19" s="1"/>
  <c r="AP56" i="19"/>
  <c r="AP8" i="27"/>
  <c r="AQ6" i="27"/>
  <c r="Y40" i="17"/>
  <c r="Y39" i="17"/>
  <c r="Y41" i="17"/>
  <c r="AO71" i="27"/>
  <c r="AN67" i="19"/>
  <c r="AB73" i="19" s="1"/>
  <c r="D83" i="19" s="1"/>
  <c r="AB72" i="19"/>
  <c r="D82" i="19" s="1"/>
  <c r="D101" i="19" s="1"/>
  <c r="AN92" i="19" s="1"/>
  <c r="O39" i="18"/>
  <c r="AQ9" i="27"/>
  <c r="AQ10" i="27"/>
  <c r="M41" i="22"/>
  <c r="M48" i="22" s="1"/>
  <c r="M49" i="22" s="1"/>
  <c r="M50" i="22" s="1"/>
  <c r="M42" i="22"/>
  <c r="J69" i="22"/>
  <c r="AK49" i="11"/>
  <c r="J76" i="22"/>
  <c r="J77" i="22" s="1"/>
  <c r="J81" i="22"/>
  <c r="AM173" i="27"/>
  <c r="AM175" i="27" s="1"/>
  <c r="J68" i="22"/>
  <c r="X40" i="17"/>
  <c r="X41" i="17"/>
  <c r="X39" i="17"/>
  <c r="G67" i="18"/>
  <c r="G68" i="18" s="1"/>
  <c r="G71" i="18"/>
  <c r="G73" i="18" s="1"/>
  <c r="G74" i="18" s="1"/>
  <c r="E81" i="19"/>
  <c r="AR3" i="27"/>
  <c r="AR5" i="27" s="1"/>
  <c r="AH58" i="16"/>
  <c r="AB74" i="31"/>
  <c r="AE46" i="31"/>
  <c r="AE49" i="31" s="1"/>
  <c r="AE52" i="31" s="1"/>
  <c r="AE60" i="31" s="1"/>
  <c r="AE61" i="31" s="1"/>
  <c r="AD71" i="31"/>
  <c r="AC73" i="31"/>
  <c r="AL57" i="18"/>
  <c r="AL58" i="18" s="1"/>
  <c r="AU51" i="11"/>
  <c r="AI58" i="31"/>
  <c r="AJ57" i="31"/>
  <c r="AD60" i="31"/>
  <c r="AD61" i="31" s="1"/>
  <c r="AD72" i="31"/>
  <c r="AT51" i="11"/>
  <c r="AD65" i="31"/>
  <c r="AD53" i="31"/>
  <c r="AC66" i="31"/>
  <c r="AC67" i="31" s="1"/>
  <c r="AC68" i="31" s="1"/>
  <c r="AC62" i="31"/>
  <c r="AS85" i="11" s="1"/>
  <c r="AS62" i="11"/>
  <c r="AS73" i="11" s="1"/>
  <c r="AH36" i="31"/>
  <c r="AG37" i="31"/>
  <c r="AF45" i="31"/>
  <c r="AF41" i="31"/>
  <c r="AF40" i="31"/>
  <c r="AF43" i="31"/>
  <c r="AF44" i="31"/>
  <c r="AF42" i="31"/>
  <c r="AK47" i="27"/>
  <c r="AK49" i="27" s="1"/>
  <c r="AL44" i="27"/>
  <c r="AL46" i="27" s="1"/>
  <c r="AF63" i="22"/>
  <c r="AL35" i="17" a="1"/>
  <c r="AL35" i="17" s="1"/>
  <c r="AH62" i="29"/>
  <c r="AH63" i="29" s="1"/>
  <c r="AH66" i="29" s="1"/>
  <c r="AG80" i="29"/>
  <c r="AT61" i="11"/>
  <c r="AF87" i="29"/>
  <c r="AF88" i="29" s="1"/>
  <c r="AG85" i="29"/>
  <c r="AM72" i="29"/>
  <c r="AG86" i="29"/>
  <c r="AT50" i="11"/>
  <c r="AG67" i="29"/>
  <c r="AG79" i="29"/>
  <c r="AS72" i="11"/>
  <c r="AJ44" i="29"/>
  <c r="AJ48" i="29" s="1"/>
  <c r="AJ52" i="29" s="1"/>
  <c r="AJ43" i="29"/>
  <c r="AJ47" i="29" s="1"/>
  <c r="AJ58" i="29"/>
  <c r="AJ45" i="29"/>
  <c r="AJ49" i="29" s="1"/>
  <c r="AJ53" i="29" s="1"/>
  <c r="AK42" i="29"/>
  <c r="AH55" i="29"/>
  <c r="AH74" i="29" s="1"/>
  <c r="AH75" i="29" s="1"/>
  <c r="AH76" i="29" s="1"/>
  <c r="AZ84" i="11" s="1"/>
  <c r="AI46" i="29"/>
  <c r="AI51" i="29"/>
  <c r="AI54" i="29" s="1"/>
  <c r="AI60" i="29"/>
  <c r="AI61" i="29"/>
  <c r="AI59" i="29"/>
  <c r="AF81" i="29"/>
  <c r="AF82" i="29" s="1"/>
  <c r="AI36" i="18"/>
  <c r="AJ34" i="18" s="1"/>
  <c r="AJ35" i="18" s="1"/>
  <c r="AG59" i="16"/>
  <c r="AC59" i="11"/>
  <c r="AC70" i="11" s="1"/>
  <c r="AK60" i="22"/>
  <c r="AK61" i="22" s="1"/>
  <c r="AL58" i="17"/>
  <c r="AJ62" i="22"/>
  <c r="AL74" i="22"/>
  <c r="AL43" i="22"/>
  <c r="AL44" i="22" s="1"/>
  <c r="AU38" i="27"/>
  <c r="AT40" i="27"/>
  <c r="AP41" i="27"/>
  <c r="AP43" i="27" s="1"/>
  <c r="AK55" i="11"/>
  <c r="AJ66" i="11"/>
  <c r="Y44" i="16" l="1"/>
  <c r="Y43" i="16"/>
  <c r="Y49" i="16" s="1"/>
  <c r="Y46" i="16"/>
  <c r="Y52" i="16" s="1"/>
  <c r="Y45" i="16"/>
  <c r="Y51" i="16" s="1"/>
  <c r="U72" i="16"/>
  <c r="T74" i="16"/>
  <c r="T75" i="16" s="1"/>
  <c r="T69" i="16"/>
  <c r="AJ80" i="27"/>
  <c r="AJ82" i="27" s="1"/>
  <c r="X53" i="16"/>
  <c r="X61" i="16" s="1"/>
  <c r="X62" i="16" s="1"/>
  <c r="X67" i="16" s="1"/>
  <c r="AL57" i="11" s="1"/>
  <c r="V63" i="16"/>
  <c r="AJ80" i="11" s="1"/>
  <c r="V67" i="16"/>
  <c r="AL77" i="27"/>
  <c r="AL79" i="27" s="1"/>
  <c r="AM74" i="27"/>
  <c r="AM76" i="27" s="1"/>
  <c r="W61" i="16"/>
  <c r="W62" i="16" s="1"/>
  <c r="W73" i="16"/>
  <c r="W66" i="16"/>
  <c r="AK46" i="11" s="1"/>
  <c r="Y50" i="16"/>
  <c r="AA39" i="16"/>
  <c r="Z40" i="16"/>
  <c r="I83" i="22"/>
  <c r="I84" i="22" s="1"/>
  <c r="M51" i="22"/>
  <c r="J88" i="22"/>
  <c r="N41" i="22"/>
  <c r="N48" i="22" s="1"/>
  <c r="N49" i="22" s="1"/>
  <c r="N50" i="22" s="1"/>
  <c r="N51" i="22" s="1"/>
  <c r="N42" i="22"/>
  <c r="J78" i="22"/>
  <c r="AK83" i="11" s="1"/>
  <c r="AM176" i="27"/>
  <c r="AM178" i="27" s="1"/>
  <c r="AK60" i="11"/>
  <c r="AK71" i="11" s="1"/>
  <c r="J82" i="22"/>
  <c r="J87" i="22" s="1"/>
  <c r="I41" i="18"/>
  <c r="I46" i="18"/>
  <c r="AL179" i="27"/>
  <c r="AL181" i="27" s="1"/>
  <c r="AR10" i="27"/>
  <c r="AR9" i="27"/>
  <c r="O40" i="22"/>
  <c r="AA38" i="17"/>
  <c r="AB36" i="16"/>
  <c r="AB38" i="16" s="1"/>
  <c r="Z39" i="17"/>
  <c r="Z40" i="17"/>
  <c r="Z41" i="17"/>
  <c r="H65" i="18"/>
  <c r="H72" i="18" s="1"/>
  <c r="H60" i="18"/>
  <c r="H61" i="18" s="1"/>
  <c r="H53" i="18"/>
  <c r="AJ71" i="11"/>
  <c r="X63" i="16"/>
  <c r="AL80" i="11" s="1"/>
  <c r="L54" i="22"/>
  <c r="L55" i="22" s="1"/>
  <c r="L45" i="22"/>
  <c r="M54" i="22"/>
  <c r="M55" i="22" s="1"/>
  <c r="M45" i="22"/>
  <c r="AP59" i="19"/>
  <c r="AP60" i="19" s="1"/>
  <c r="AP61" i="19" s="1"/>
  <c r="AQ56" i="19"/>
  <c r="AE71" i="19"/>
  <c r="AQ63" i="19"/>
  <c r="AQ65" i="19"/>
  <c r="AO67" i="19"/>
  <c r="AC73" i="19" s="1"/>
  <c r="E83" i="19" s="1"/>
  <c r="AC72" i="19"/>
  <c r="E82" i="19" s="1"/>
  <c r="E101" i="19" s="1"/>
  <c r="AO92" i="19" s="1"/>
  <c r="P39" i="18"/>
  <c r="AS51" i="19"/>
  <c r="AR54" i="19"/>
  <c r="AR55" i="19" s="1"/>
  <c r="AR62" i="19" s="1"/>
  <c r="AQ8" i="27"/>
  <c r="AR6" i="27"/>
  <c r="AQ71" i="27"/>
  <c r="K69" i="22"/>
  <c r="K68" i="22"/>
  <c r="K81" i="22"/>
  <c r="K76" i="22"/>
  <c r="K77" i="22" s="1"/>
  <c r="AN173" i="27"/>
  <c r="AN175" i="27" s="1"/>
  <c r="AL49" i="11"/>
  <c r="I89" i="22"/>
  <c r="I90" i="22" s="1"/>
  <c r="F81" i="19"/>
  <c r="AS3" i="27"/>
  <c r="AS5" i="27" s="1"/>
  <c r="AI58" i="16"/>
  <c r="AE72" i="31"/>
  <c r="AE53" i="31"/>
  <c r="AE65" i="31"/>
  <c r="AC74" i="31"/>
  <c r="AM57" i="18"/>
  <c r="AG40" i="31"/>
  <c r="AG45" i="31"/>
  <c r="AG41" i="31"/>
  <c r="AG43" i="31"/>
  <c r="AG42" i="31"/>
  <c r="AG44" i="31"/>
  <c r="AF46" i="31"/>
  <c r="AF49" i="31" s="1"/>
  <c r="AF52" i="31" s="1"/>
  <c r="AI36" i="31"/>
  <c r="AH37" i="31"/>
  <c r="AD62" i="31"/>
  <c r="AT85" i="11" s="1"/>
  <c r="AD66" i="31"/>
  <c r="AT62" i="11"/>
  <c r="AT73" i="11" s="1"/>
  <c r="AD73" i="31"/>
  <c r="AE71" i="31"/>
  <c r="AD67" i="31"/>
  <c r="AD68" i="31" s="1"/>
  <c r="AJ58" i="31"/>
  <c r="AK57" i="31"/>
  <c r="AE62" i="31"/>
  <c r="AU85" i="11" s="1"/>
  <c r="AE66" i="31"/>
  <c r="AU62" i="11"/>
  <c r="AU73" i="11" s="1"/>
  <c r="AL47" i="27"/>
  <c r="AL49" i="27" s="1"/>
  <c r="AM44" i="27"/>
  <c r="AM46" i="27" s="1"/>
  <c r="AG63" i="22"/>
  <c r="AM35" i="17" a="1"/>
  <c r="AM35" i="17" s="1"/>
  <c r="AT72" i="11"/>
  <c r="AJ51" i="29"/>
  <c r="AJ54" i="29" s="1"/>
  <c r="AJ46" i="29"/>
  <c r="AK58" i="29"/>
  <c r="AK45" i="29"/>
  <c r="AK49" i="29" s="1"/>
  <c r="AK53" i="29" s="1"/>
  <c r="AL42" i="29"/>
  <c r="AK44" i="29"/>
  <c r="AK48" i="29" s="1"/>
  <c r="AK52" i="29" s="1"/>
  <c r="AK43" i="29"/>
  <c r="AK47" i="29" s="1"/>
  <c r="AI62" i="29"/>
  <c r="AI63" i="29" s="1"/>
  <c r="AI66" i="29" s="1"/>
  <c r="AH80" i="29"/>
  <c r="AU61" i="11"/>
  <c r="AJ60" i="29"/>
  <c r="AJ61" i="29"/>
  <c r="AJ59" i="29"/>
  <c r="AG81" i="29"/>
  <c r="AG82" i="29" s="1"/>
  <c r="AN72" i="29"/>
  <c r="AI55" i="29"/>
  <c r="AI74" i="29" s="1"/>
  <c r="AI75" i="29" s="1"/>
  <c r="AI76" i="29" s="1"/>
  <c r="BA84" i="11" s="1"/>
  <c r="AH86" i="29"/>
  <c r="AU50" i="11"/>
  <c r="AH67" i="29"/>
  <c r="AH79" i="29"/>
  <c r="AH85" i="29"/>
  <c r="AG87" i="29"/>
  <c r="AG88" i="29" s="1"/>
  <c r="AM74" i="22"/>
  <c r="AM43" i="22"/>
  <c r="AM44" i="22" s="1"/>
  <c r="AE146" i="27"/>
  <c r="AE148" i="27" s="1"/>
  <c r="AK62" i="22"/>
  <c r="AM58" i="18"/>
  <c r="AJ36" i="18"/>
  <c r="AK34" i="18" s="1"/>
  <c r="AK35" i="18" s="1"/>
  <c r="AH59" i="16"/>
  <c r="AF140" i="27"/>
  <c r="AF142" i="27" s="1"/>
  <c r="AM58" i="17"/>
  <c r="AL60" i="22"/>
  <c r="AL61" i="22" s="1"/>
  <c r="AU40" i="27"/>
  <c r="AV38" i="27"/>
  <c r="AL55" i="11"/>
  <c r="AK66" i="11"/>
  <c r="AQ41" i="27"/>
  <c r="AQ43" i="27" s="1"/>
  <c r="M31" i="1"/>
  <c r="AN77" i="27" l="1"/>
  <c r="AN79" i="27" s="1"/>
  <c r="Z43" i="16"/>
  <c r="Z49" i="16" s="1"/>
  <c r="Z46" i="16"/>
  <c r="Z52" i="16" s="1"/>
  <c r="Z44" i="16"/>
  <c r="Z45" i="16"/>
  <c r="U74" i="16"/>
  <c r="U75" i="16" s="1"/>
  <c r="V72" i="16"/>
  <c r="X73" i="16"/>
  <c r="X66" i="16"/>
  <c r="AL46" i="11" s="1"/>
  <c r="K14" i="11" s="1"/>
  <c r="AN74" i="27"/>
  <c r="AN76" i="27" s="1"/>
  <c r="Y53" i="16"/>
  <c r="Y61" i="16" s="1"/>
  <c r="Y62" i="16" s="1"/>
  <c r="Y67" i="16" s="1"/>
  <c r="AM57" i="11" s="1"/>
  <c r="Z50" i="16"/>
  <c r="Z51" i="16"/>
  <c r="AB39" i="16"/>
  <c r="AA40" i="16"/>
  <c r="AM77" i="27"/>
  <c r="AM79" i="27" s="1"/>
  <c r="W67" i="16"/>
  <c r="W63" i="16"/>
  <c r="AK80" i="11" s="1"/>
  <c r="D92" i="11" s="1"/>
  <c r="AJ57" i="11"/>
  <c r="AJ68" i="11" s="1"/>
  <c r="V68" i="16"/>
  <c r="AO74" i="27"/>
  <c r="AO76" i="27" s="1"/>
  <c r="Y73" i="16"/>
  <c r="J83" i="22"/>
  <c r="AN176" i="27"/>
  <c r="AN178" i="27" s="1"/>
  <c r="K82" i="22"/>
  <c r="K87" i="22" s="1"/>
  <c r="K78" i="22"/>
  <c r="AL83" i="11" s="1"/>
  <c r="D95" i="11" s="1"/>
  <c r="AL60" i="11"/>
  <c r="K30" i="11" s="1"/>
  <c r="D20" i="11" s="1"/>
  <c r="P40" i="22"/>
  <c r="AB38" i="17"/>
  <c r="AC36" i="16"/>
  <c r="AC38" i="16" s="1"/>
  <c r="AD72" i="19"/>
  <c r="F82" i="19" s="1"/>
  <c r="F101" i="19" s="1"/>
  <c r="AP92" i="19" s="1"/>
  <c r="AP67" i="19"/>
  <c r="AD73" i="19" s="1"/>
  <c r="F83" i="19" s="1"/>
  <c r="Q39" i="18"/>
  <c r="L56" i="22"/>
  <c r="L57" i="22" s="1"/>
  <c r="L67" i="22" s="1"/>
  <c r="L66" i="22"/>
  <c r="AO170" i="27" s="1"/>
  <c r="H62" i="18"/>
  <c r="AI82" i="11" s="1"/>
  <c r="H66" i="18"/>
  <c r="AA39" i="17"/>
  <c r="AA40" i="17"/>
  <c r="AA41" i="17"/>
  <c r="J89" i="22"/>
  <c r="J90" i="22" s="1"/>
  <c r="N54" i="22"/>
  <c r="N55" i="22" s="1"/>
  <c r="N45" i="22"/>
  <c r="AF71" i="19"/>
  <c r="AR63" i="19"/>
  <c r="AR65" i="19"/>
  <c r="AO77" i="27"/>
  <c r="AO79" i="27" s="1"/>
  <c r="Y63" i="16"/>
  <c r="AM80" i="11" s="1"/>
  <c r="O42" i="22"/>
  <c r="O41" i="22"/>
  <c r="O48" i="22" s="1"/>
  <c r="O49" i="22" s="1"/>
  <c r="O50" i="22" s="1"/>
  <c r="O51" i="22" s="1"/>
  <c r="K88" i="22"/>
  <c r="K29" i="11"/>
  <c r="AT51" i="19"/>
  <c r="AS54" i="19"/>
  <c r="AS55" i="19" s="1"/>
  <c r="AS62" i="19" s="1"/>
  <c r="G81" i="19"/>
  <c r="AT3" i="27"/>
  <c r="AT5" i="27" s="1"/>
  <c r="M56" i="22"/>
  <c r="M66" i="22"/>
  <c r="AP170" i="27" s="1"/>
  <c r="J84" i="22"/>
  <c r="AM179" i="27"/>
  <c r="AM181" i="27" s="1"/>
  <c r="AS10" i="27"/>
  <c r="AS9" i="27"/>
  <c r="AR8" i="27"/>
  <c r="AS6" i="27"/>
  <c r="AQ59" i="19"/>
  <c r="AQ60" i="19" s="1"/>
  <c r="AQ61" i="19" s="1"/>
  <c r="AR56" i="19"/>
  <c r="AR71" i="27"/>
  <c r="I42" i="18"/>
  <c r="I47" i="18"/>
  <c r="AJ58" i="16"/>
  <c r="AE67" i="31"/>
  <c r="AE68" i="31" s="1"/>
  <c r="AD74" i="31"/>
  <c r="AH43" i="31"/>
  <c r="AH40" i="31"/>
  <c r="AH44" i="31"/>
  <c r="AH41" i="31"/>
  <c r="AH45" i="31"/>
  <c r="AH42" i="31"/>
  <c r="AG46" i="31"/>
  <c r="AG49" i="31" s="1"/>
  <c r="AG52" i="31" s="1"/>
  <c r="AI37" i="31"/>
  <c r="AJ36" i="31"/>
  <c r="AE73" i="31"/>
  <c r="AF71" i="31"/>
  <c r="AF60" i="31"/>
  <c r="AF61" i="31" s="1"/>
  <c r="AV51" i="11"/>
  <c r="AF53" i="31"/>
  <c r="AF65" i="31"/>
  <c r="AF72" i="31"/>
  <c r="AN57" i="18"/>
  <c r="AK58" i="31"/>
  <c r="AL57" i="31"/>
  <c r="AM47" i="27"/>
  <c r="AM49" i="27" s="1"/>
  <c r="AH63" i="22"/>
  <c r="AH81" i="29"/>
  <c r="AH82" i="29" s="1"/>
  <c r="AN35" i="17" a="1"/>
  <c r="AN35" i="17" s="1"/>
  <c r="M11" i="11"/>
  <c r="AK51" i="29"/>
  <c r="AK54" i="29" s="1"/>
  <c r="AK46" i="29"/>
  <c r="AI86" i="29"/>
  <c r="AV50" i="11"/>
  <c r="AI67" i="29"/>
  <c r="AI79" i="29"/>
  <c r="AU72" i="11"/>
  <c r="AK59" i="29"/>
  <c r="AK60" i="29"/>
  <c r="AK61" i="29"/>
  <c r="AO72" i="29"/>
  <c r="AJ62" i="29"/>
  <c r="AJ63" i="29" s="1"/>
  <c r="AJ66" i="29" s="1"/>
  <c r="AL58" i="29"/>
  <c r="AL44" i="29"/>
  <c r="AL48" i="29" s="1"/>
  <c r="AL52" i="29" s="1"/>
  <c r="AL43" i="29"/>
  <c r="AL47" i="29" s="1"/>
  <c r="AL45" i="29"/>
  <c r="AL49" i="29" s="1"/>
  <c r="AL53" i="29" s="1"/>
  <c r="AM42" i="29"/>
  <c r="AJ55" i="29"/>
  <c r="AJ74" i="29" s="1"/>
  <c r="AJ75" i="29" s="1"/>
  <c r="AJ76" i="29" s="1"/>
  <c r="BB84" i="11" s="1"/>
  <c r="AI80" i="29"/>
  <c r="AV61" i="11"/>
  <c r="AI85" i="29"/>
  <c r="AH87" i="29"/>
  <c r="AH88" i="29" s="1"/>
  <c r="N19" i="3"/>
  <c r="N21" i="3" s="1"/>
  <c r="P15" i="25"/>
  <c r="P17" i="25" s="1"/>
  <c r="AK36" i="18"/>
  <c r="AL34" i="18" s="1"/>
  <c r="AL35" i="18" s="1"/>
  <c r="AL62" i="22"/>
  <c r="AD48" i="11"/>
  <c r="AN58" i="17"/>
  <c r="AF143" i="27"/>
  <c r="AF145" i="27" s="1"/>
  <c r="AN58" i="18"/>
  <c r="AN74" i="22"/>
  <c r="AN43" i="22"/>
  <c r="AN44" i="22" s="1"/>
  <c r="AI59" i="16"/>
  <c r="AM60" i="22"/>
  <c r="AM61" i="22" s="1"/>
  <c r="AV40" i="27"/>
  <c r="AW38" i="27"/>
  <c r="K5" i="11"/>
  <c r="K6" i="11" s="1"/>
  <c r="D26" i="11" s="1"/>
  <c r="AN44" i="27"/>
  <c r="AN46" i="27" s="1"/>
  <c r="AR41" i="27"/>
  <c r="AR43" i="27" s="1"/>
  <c r="AM55" i="11"/>
  <c r="AL66" i="11"/>
  <c r="L31" i="1"/>
  <c r="Y66" i="16" l="1"/>
  <c r="AM46" i="11" s="1"/>
  <c r="AM68" i="11" s="1"/>
  <c r="AA46" i="16"/>
  <c r="AA52" i="16" s="1"/>
  <c r="AA45" i="16"/>
  <c r="AA51" i="16" s="1"/>
  <c r="AA43" i="16"/>
  <c r="AA49" i="16" s="1"/>
  <c r="AA44" i="16"/>
  <c r="AA50" i="16" s="1"/>
  <c r="V74" i="16"/>
  <c r="V75" i="16" s="1"/>
  <c r="W72" i="16"/>
  <c r="AL68" i="11"/>
  <c r="X68" i="16"/>
  <c r="AN80" i="27" s="1"/>
  <c r="AN82" i="27" s="1"/>
  <c r="AL80" i="27"/>
  <c r="AL82" i="27" s="1"/>
  <c r="V69" i="16"/>
  <c r="AC39" i="16"/>
  <c r="AB40" i="16"/>
  <c r="AK57" i="11"/>
  <c r="AK68" i="11" s="1"/>
  <c r="W68" i="16"/>
  <c r="Z53" i="16"/>
  <c r="K83" i="22"/>
  <c r="AQ67" i="19"/>
  <c r="AE73" i="19" s="1"/>
  <c r="G83" i="19" s="1"/>
  <c r="AE72" i="19"/>
  <c r="G82" i="19" s="1"/>
  <c r="G101" i="19" s="1"/>
  <c r="AQ92" i="19" s="1"/>
  <c r="R39" i="18"/>
  <c r="AU51" i="19"/>
  <c r="AT54" i="19"/>
  <c r="AT55" i="19" s="1"/>
  <c r="AT62" i="19" s="1"/>
  <c r="D6" i="11"/>
  <c r="H67" i="18"/>
  <c r="H68" i="18" s="1"/>
  <c r="H71" i="18"/>
  <c r="H73" i="18" s="1"/>
  <c r="H74" i="18" s="1"/>
  <c r="AO173" i="27"/>
  <c r="AO175" i="27" s="1"/>
  <c r="L69" i="22"/>
  <c r="L76" i="22"/>
  <c r="L77" i="22" s="1"/>
  <c r="L68" i="22"/>
  <c r="L81" i="22"/>
  <c r="AM49" i="11"/>
  <c r="AS71" i="27"/>
  <c r="J40" i="18"/>
  <c r="I48" i="18"/>
  <c r="I49" i="18" s="1"/>
  <c r="I52" i="18" s="1"/>
  <c r="I43" i="18"/>
  <c r="AD137" i="27" s="1"/>
  <c r="AS8" i="27"/>
  <c r="AT6" i="27"/>
  <c r="H81" i="19"/>
  <c r="AU3" i="27"/>
  <c r="AU5" i="27" s="1"/>
  <c r="AB41" i="17"/>
  <c r="AB39" i="17"/>
  <c r="AB40" i="17"/>
  <c r="AT9" i="27"/>
  <c r="AT10" i="27"/>
  <c r="M57" i="22"/>
  <c r="M67" i="22" s="1"/>
  <c r="AL71" i="11"/>
  <c r="K84" i="22"/>
  <c r="AN179" i="27"/>
  <c r="AN181" i="27" s="1"/>
  <c r="P41" i="22"/>
  <c r="P48" i="22" s="1"/>
  <c r="P49" i="22" s="1"/>
  <c r="P50" i="22" s="1"/>
  <c r="P51" i="22" s="1"/>
  <c r="P42" i="22"/>
  <c r="K89" i="22"/>
  <c r="K90" i="22" s="1"/>
  <c r="AR59" i="19"/>
  <c r="AR60" i="19" s="1"/>
  <c r="AR61" i="19" s="1"/>
  <c r="AS56" i="19"/>
  <c r="Y68" i="16"/>
  <c r="AG71" i="19"/>
  <c r="AS63" i="19"/>
  <c r="AS65" i="19"/>
  <c r="D9" i="11"/>
  <c r="K31" i="11"/>
  <c r="D31" i="11" s="1"/>
  <c r="O54" i="22"/>
  <c r="O55" i="22" s="1"/>
  <c r="O45" i="22"/>
  <c r="N56" i="22"/>
  <c r="N57" i="22" s="1"/>
  <c r="N66" i="22"/>
  <c r="AQ170" i="27" s="1"/>
  <c r="Q40" i="22"/>
  <c r="AC38" i="17"/>
  <c r="AD36" i="16"/>
  <c r="AD38" i="16" s="1"/>
  <c r="AK58" i="16"/>
  <c r="AE74" i="31"/>
  <c r="AG71" i="31"/>
  <c r="AF73" i="31"/>
  <c r="AG60" i="31"/>
  <c r="AG61" i="31" s="1"/>
  <c r="AG65" i="31"/>
  <c r="AW51" i="11"/>
  <c r="AG53" i="31"/>
  <c r="AG72" i="31"/>
  <c r="AH46" i="31"/>
  <c r="AH49" i="31" s="1"/>
  <c r="AH52" i="31" s="1"/>
  <c r="AO57" i="18"/>
  <c r="AK36" i="31"/>
  <c r="AJ37" i="31"/>
  <c r="AL58" i="31"/>
  <c r="AM57" i="31"/>
  <c r="AF66" i="31"/>
  <c r="AF67" i="31" s="1"/>
  <c r="AF68" i="31" s="1"/>
  <c r="AF62" i="31"/>
  <c r="AV85" i="11" s="1"/>
  <c r="AV62" i="11"/>
  <c r="AV73" i="11" s="1"/>
  <c r="AI44" i="31"/>
  <c r="AI40" i="31"/>
  <c r="AI41" i="31"/>
  <c r="AI43" i="31"/>
  <c r="AI42" i="31"/>
  <c r="AI45" i="31"/>
  <c r="AO44" i="27"/>
  <c r="AO46" i="27" s="1"/>
  <c r="AN47" i="27"/>
  <c r="AN49" i="27" s="1"/>
  <c r="AI63" i="22"/>
  <c r="AO35" i="17" a="1"/>
  <c r="AO35" i="17" s="1"/>
  <c r="AV72" i="11"/>
  <c r="AX50" i="11"/>
  <c r="AJ86" i="29"/>
  <c r="AW50" i="11"/>
  <c r="AJ67" i="29"/>
  <c r="AJ79" i="29"/>
  <c r="AI81" i="29"/>
  <c r="AI82" i="29" s="1"/>
  <c r="AJ80" i="29"/>
  <c r="AX61" i="11"/>
  <c r="AW61" i="11"/>
  <c r="AL51" i="29"/>
  <c r="AL54" i="29" s="1"/>
  <c r="AL46" i="29"/>
  <c r="AP72" i="29"/>
  <c r="AK55" i="29"/>
  <c r="AK74" i="29" s="1"/>
  <c r="AK75" i="29" s="1"/>
  <c r="AK76" i="29" s="1"/>
  <c r="BC84" i="11" s="1"/>
  <c r="AI87" i="29"/>
  <c r="AI88" i="29" s="1"/>
  <c r="AJ85" i="29"/>
  <c r="AK62" i="29"/>
  <c r="AK63" i="29" s="1"/>
  <c r="AK66" i="29" s="1"/>
  <c r="AM43" i="29"/>
  <c r="AM47" i="29" s="1"/>
  <c r="AM45" i="29"/>
  <c r="AM49" i="29" s="1"/>
  <c r="AM53" i="29" s="1"/>
  <c r="AN42" i="29"/>
  <c r="AM44" i="29"/>
  <c r="AM48" i="29" s="1"/>
  <c r="AM52" i="29" s="1"/>
  <c r="AM58" i="29"/>
  <c r="AL60" i="29"/>
  <c r="AL59" i="29"/>
  <c r="AL61" i="29"/>
  <c r="M19" i="3"/>
  <c r="M21" i="3" s="1"/>
  <c r="O15" i="25"/>
  <c r="O17" i="25" s="1"/>
  <c r="AO74" i="22"/>
  <c r="AO43" i="22"/>
  <c r="AO44" i="22" s="1"/>
  <c r="AO58" i="18"/>
  <c r="AD59" i="11"/>
  <c r="AD70" i="11" s="1"/>
  <c r="AL36" i="18"/>
  <c r="AM34" i="18" s="1"/>
  <c r="AM35" i="18" s="1"/>
  <c r="AJ59" i="16"/>
  <c r="AN60" i="22"/>
  <c r="AN61" i="22" s="1"/>
  <c r="AO58" i="17"/>
  <c r="AM62" i="22"/>
  <c r="D15" i="11"/>
  <c r="AX38" i="27"/>
  <c r="AW40" i="27"/>
  <c r="AN55" i="11"/>
  <c r="AM66" i="11"/>
  <c r="AS41" i="27"/>
  <c r="AS43" i="27" s="1"/>
  <c r="I31" i="1"/>
  <c r="K31" i="1"/>
  <c r="J31" i="1"/>
  <c r="X69" i="16" l="1"/>
  <c r="AB45" i="16"/>
  <c r="AB51" i="16" s="1"/>
  <c r="AB44" i="16"/>
  <c r="AB43" i="16"/>
  <c r="AB49" i="16" s="1"/>
  <c r="AB46" i="16"/>
  <c r="AB52" i="16" s="1"/>
  <c r="X72" i="16"/>
  <c r="W74" i="16"/>
  <c r="W75" i="16" s="1"/>
  <c r="K15" i="11"/>
  <c r="D17" i="11" s="1"/>
  <c r="AA53" i="16"/>
  <c r="AP74" i="27"/>
  <c r="AP76" i="27" s="1"/>
  <c r="Z61" i="16"/>
  <c r="Z62" i="16" s="1"/>
  <c r="Z73" i="16"/>
  <c r="Z66" i="16"/>
  <c r="AB50" i="16"/>
  <c r="AM80" i="27"/>
  <c r="AM82" i="27" s="1"/>
  <c r="W69" i="16"/>
  <c r="AD39" i="16"/>
  <c r="AC40" i="16"/>
  <c r="I81" i="19"/>
  <c r="AV3" i="27"/>
  <c r="AV5" i="27" s="1"/>
  <c r="Q41" i="22"/>
  <c r="Q48" i="22" s="1"/>
  <c r="Q49" i="22" s="1"/>
  <c r="Q50" i="22" s="1"/>
  <c r="Q51" i="22" s="1"/>
  <c r="Q42" i="22"/>
  <c r="O56" i="22"/>
  <c r="O57" i="22" s="1"/>
  <c r="O67" i="22" s="1"/>
  <c r="O66" i="22"/>
  <c r="AR170" i="27" s="1"/>
  <c r="AR67" i="19"/>
  <c r="AF73" i="19" s="1"/>
  <c r="H83" i="19" s="1"/>
  <c r="AF72" i="19"/>
  <c r="H82" i="19" s="1"/>
  <c r="H101" i="19" s="1"/>
  <c r="AR92" i="19" s="1"/>
  <c r="S39" i="18"/>
  <c r="L88" i="22"/>
  <c r="AU10" i="27"/>
  <c r="AU9" i="27"/>
  <c r="I65" i="18"/>
  <c r="I60" i="18"/>
  <c r="I61" i="18" s="1"/>
  <c r="I53" i="18"/>
  <c r="AT71" i="27"/>
  <c r="N67" i="22"/>
  <c r="Y69" i="16"/>
  <c r="AO80" i="27"/>
  <c r="AO82" i="27" s="1"/>
  <c r="P54" i="22"/>
  <c r="P55" i="22" s="1"/>
  <c r="P45" i="22"/>
  <c r="AT8" i="27"/>
  <c r="AU6" i="27"/>
  <c r="J41" i="18"/>
  <c r="J46" i="18"/>
  <c r="AH71" i="19"/>
  <c r="AT63" i="19"/>
  <c r="AT65" i="19"/>
  <c r="R40" i="22"/>
  <c r="AD38" i="17"/>
  <c r="AE36" i="16"/>
  <c r="AE38" i="16" s="1"/>
  <c r="AC40" i="17"/>
  <c r="AC41" i="17"/>
  <c r="AC39" i="17"/>
  <c r="AS59" i="19"/>
  <c r="AS60" i="19" s="1"/>
  <c r="AS61" i="19" s="1"/>
  <c r="AT56" i="19"/>
  <c r="M69" i="22"/>
  <c r="AN49" i="11"/>
  <c r="AP173" i="27"/>
  <c r="AP175" i="27" s="1"/>
  <c r="M76" i="22"/>
  <c r="M77" i="22" s="1"/>
  <c r="M68" i="22"/>
  <c r="M81" i="22"/>
  <c r="AM60" i="11"/>
  <c r="L82" i="22"/>
  <c r="L87" i="22" s="1"/>
  <c r="AO176" i="27"/>
  <c r="AO178" i="27" s="1"/>
  <c r="L78" i="22"/>
  <c r="AM83" i="11" s="1"/>
  <c r="AV51" i="19"/>
  <c r="AU54" i="19"/>
  <c r="AU55" i="19" s="1"/>
  <c r="AU62" i="19" s="1"/>
  <c r="AL58" i="16"/>
  <c r="AF74" i="31"/>
  <c r="AM58" i="31"/>
  <c r="AN57" i="31"/>
  <c r="AP57" i="18"/>
  <c r="AP58" i="18" s="1"/>
  <c r="AG73" i="31"/>
  <c r="AG74" i="31" s="1"/>
  <c r="AH71" i="31"/>
  <c r="AJ41" i="31"/>
  <c r="AJ40" i="31"/>
  <c r="AJ45" i="31"/>
  <c r="AJ44" i="31"/>
  <c r="AJ42" i="31"/>
  <c r="AJ43" i="31"/>
  <c r="AH60" i="31"/>
  <c r="AH61" i="31" s="1"/>
  <c r="AH72" i="31"/>
  <c r="AX51" i="11"/>
  <c r="E11" i="11" s="1"/>
  <c r="L39" i="11" s="1"/>
  <c r="AH53" i="31"/>
  <c r="AH65" i="31"/>
  <c r="AI46" i="31"/>
  <c r="AI49" i="31" s="1"/>
  <c r="AI52" i="31" s="1"/>
  <c r="AK37" i="31"/>
  <c r="AL36" i="31"/>
  <c r="AG66" i="31"/>
  <c r="AG67" i="31" s="1"/>
  <c r="AG68" i="31" s="1"/>
  <c r="AG62" i="31"/>
  <c r="AW85" i="11" s="1"/>
  <c r="AW62" i="11"/>
  <c r="AW73" i="11" s="1"/>
  <c r="AP44" i="27"/>
  <c r="AP46" i="27" s="1"/>
  <c r="AO47" i="27"/>
  <c r="AO49" i="27" s="1"/>
  <c r="AJ63" i="22"/>
  <c r="AP35" i="17" a="1"/>
  <c r="AP35" i="17" s="1"/>
  <c r="AL62" i="29"/>
  <c r="AL63" i="29" s="1"/>
  <c r="AJ81" i="29"/>
  <c r="AJ82" i="29" s="1"/>
  <c r="AK86" i="29"/>
  <c r="AY50" i="11"/>
  <c r="AK79" i="29"/>
  <c r="AK67" i="29"/>
  <c r="AM59" i="29"/>
  <c r="AM60" i="29"/>
  <c r="AM61" i="29"/>
  <c r="AK80" i="29"/>
  <c r="AY61" i="11"/>
  <c r="AX72" i="11"/>
  <c r="L35" i="11"/>
  <c r="E21" i="11" s="1"/>
  <c r="AN58" i="29"/>
  <c r="AN45" i="29"/>
  <c r="AN49" i="29" s="1"/>
  <c r="AN53" i="29" s="1"/>
  <c r="AN43" i="29"/>
  <c r="AN47" i="29" s="1"/>
  <c r="AN44" i="29"/>
  <c r="AN48" i="29" s="1"/>
  <c r="AN52" i="29" s="1"/>
  <c r="AO42" i="29"/>
  <c r="AJ87" i="29"/>
  <c r="AJ88" i="29" s="1"/>
  <c r="AK85" i="29"/>
  <c r="AQ72" i="29"/>
  <c r="AL66" i="29"/>
  <c r="AL55" i="29"/>
  <c r="AL74" i="29" s="1"/>
  <c r="AL75" i="29" s="1"/>
  <c r="AL76" i="29" s="1"/>
  <c r="BD84" i="11" s="1"/>
  <c r="L34" i="11"/>
  <c r="AM51" i="29"/>
  <c r="AM54" i="29" s="1"/>
  <c r="AM46" i="29"/>
  <c r="AW72" i="11"/>
  <c r="K19" i="3"/>
  <c r="K21" i="3" s="1"/>
  <c r="K22" i="3" s="1"/>
  <c r="M429" i="1" s="1"/>
  <c r="N429" i="1" s="1"/>
  <c r="M15" i="25"/>
  <c r="M17" i="25" s="1"/>
  <c r="L19" i="3"/>
  <c r="L21" i="3" s="1"/>
  <c r="N15" i="25"/>
  <c r="N17" i="25" s="1"/>
  <c r="J19" i="3"/>
  <c r="J21" i="3" s="1"/>
  <c r="J22" i="3" s="1"/>
  <c r="M382" i="1" s="1"/>
  <c r="N382" i="1" s="1"/>
  <c r="L15" i="25"/>
  <c r="L17" i="25" s="1"/>
  <c r="AM36" i="18"/>
  <c r="AN34" i="18" s="1"/>
  <c r="AN35" i="18" s="1"/>
  <c r="AF146" i="27"/>
  <c r="AF148" i="27" s="1"/>
  <c r="AG140" i="27"/>
  <c r="AG142" i="27" s="1"/>
  <c r="AP58" i="17"/>
  <c r="AK59" i="16"/>
  <c r="AO60" i="22"/>
  <c r="AO61" i="22" s="1"/>
  <c r="AP74" i="22"/>
  <c r="AP43" i="22"/>
  <c r="AP44" i="22" s="1"/>
  <c r="AN62" i="22"/>
  <c r="AY38" i="27"/>
  <c r="AX40" i="27"/>
  <c r="AT41" i="27"/>
  <c r="AT43" i="27" s="1"/>
  <c r="AO55" i="11"/>
  <c r="AN66" i="11"/>
  <c r="E31" i="1"/>
  <c r="D31" i="1"/>
  <c r="F31" i="1"/>
  <c r="G31" i="1"/>
  <c r="H31" i="1"/>
  <c r="AC44" i="16" l="1"/>
  <c r="AC43" i="16"/>
  <c r="AC45" i="16"/>
  <c r="AC51" i="16" s="1"/>
  <c r="AC46" i="16"/>
  <c r="AC52" i="16" s="1"/>
  <c r="K16" i="11"/>
  <c r="D28" i="11" s="1"/>
  <c r="X74" i="16"/>
  <c r="X75" i="16" s="1"/>
  <c r="Y72" i="16"/>
  <c r="AQ74" i="27"/>
  <c r="AQ76" i="27" s="1"/>
  <c r="AA61" i="16"/>
  <c r="AA62" i="16" s="1"/>
  <c r="AA66" i="16"/>
  <c r="AO46" i="11" s="1"/>
  <c r="AA73" i="16"/>
  <c r="AC50" i="16"/>
  <c r="AC49" i="16"/>
  <c r="AN46" i="11"/>
  <c r="AE39" i="16"/>
  <c r="AD40" i="16"/>
  <c r="AB53" i="16"/>
  <c r="Z63" i="16"/>
  <c r="AN80" i="11" s="1"/>
  <c r="Z67" i="16"/>
  <c r="AN57" i="11" s="1"/>
  <c r="AP77" i="27"/>
  <c r="AP79" i="27" s="1"/>
  <c r="L89" i="22"/>
  <c r="L90" i="22" s="1"/>
  <c r="AI71" i="19"/>
  <c r="AU63" i="19"/>
  <c r="AU65" i="19"/>
  <c r="R42" i="22"/>
  <c r="R41" i="22"/>
  <c r="R48" i="22" s="1"/>
  <c r="R49" i="22" s="1"/>
  <c r="R50" i="22" s="1"/>
  <c r="R51" i="22" s="1"/>
  <c r="AO49" i="11"/>
  <c r="N76" i="22"/>
  <c r="N77" i="22" s="1"/>
  <c r="AQ173" i="27"/>
  <c r="AQ175" i="27" s="1"/>
  <c r="N81" i="22"/>
  <c r="N68" i="22"/>
  <c r="N69" i="22"/>
  <c r="I62" i="18"/>
  <c r="AJ82" i="11" s="1"/>
  <c r="I66" i="18"/>
  <c r="I71" i="18" s="1"/>
  <c r="AW51" i="19"/>
  <c r="AV54" i="19"/>
  <c r="AV55" i="19" s="1"/>
  <c r="AV62" i="19" s="1"/>
  <c r="AM71" i="11"/>
  <c r="AP176" i="27"/>
  <c r="AP178" i="27" s="1"/>
  <c r="M82" i="22"/>
  <c r="M87" i="22" s="1"/>
  <c r="AN60" i="11"/>
  <c r="AN71" i="11" s="1"/>
  <c r="M78" i="22"/>
  <c r="AN83" i="11" s="1"/>
  <c r="AT59" i="19"/>
  <c r="AT60" i="19" s="1"/>
  <c r="AT61" i="19" s="1"/>
  <c r="AU56" i="19"/>
  <c r="J42" i="18"/>
  <c r="J47" i="18"/>
  <c r="P56" i="22"/>
  <c r="P57" i="22" s="1"/>
  <c r="P67" i="22" s="1"/>
  <c r="P66" i="22"/>
  <c r="AS170" i="27" s="1"/>
  <c r="O68" i="22"/>
  <c r="AR173" i="27"/>
  <c r="AR175" i="27" s="1"/>
  <c r="O76" i="22"/>
  <c r="O77" i="22" s="1"/>
  <c r="O81" i="22"/>
  <c r="AP49" i="11"/>
  <c r="O69" i="22"/>
  <c r="I72" i="18"/>
  <c r="S40" i="22"/>
  <c r="AE38" i="17"/>
  <c r="AF36" i="16"/>
  <c r="AF38" i="16" s="1"/>
  <c r="Q54" i="22"/>
  <c r="Q55" i="22" s="1"/>
  <c r="Q45" i="22"/>
  <c r="AV9" i="27"/>
  <c r="AV10" i="27"/>
  <c r="AG72" i="19"/>
  <c r="I82" i="19" s="1"/>
  <c r="I101" i="19" s="1"/>
  <c r="AS92" i="19" s="1"/>
  <c r="AS67" i="19"/>
  <c r="AG73" i="19" s="1"/>
  <c r="I83" i="19" s="1"/>
  <c r="T39" i="18"/>
  <c r="AU71" i="27"/>
  <c r="AU8" i="27"/>
  <c r="AV6" i="27"/>
  <c r="M88" i="22"/>
  <c r="N88" i="22" s="1"/>
  <c r="O88" i="22" s="1"/>
  <c r="P88" i="22" s="1"/>
  <c r="Q88" i="22" s="1"/>
  <c r="R88" i="22" s="1"/>
  <c r="S88" i="22" s="1"/>
  <c r="T88" i="22" s="1"/>
  <c r="U88" i="22" s="1"/>
  <c r="V88" i="22" s="1"/>
  <c r="W88" i="22" s="1"/>
  <c r="X88" i="22" s="1"/>
  <c r="Y88" i="22" s="1"/>
  <c r="Z88" i="22" s="1"/>
  <c r="AA88" i="22" s="1"/>
  <c r="AB88" i="22" s="1"/>
  <c r="AC88" i="22" s="1"/>
  <c r="AD88" i="22" s="1"/>
  <c r="AE88" i="22" s="1"/>
  <c r="AF88" i="22" s="1"/>
  <c r="AG88" i="22" s="1"/>
  <c r="AH88" i="22" s="1"/>
  <c r="AI88" i="22" s="1"/>
  <c r="AJ88" i="22" s="1"/>
  <c r="AK88" i="22" s="1"/>
  <c r="AL88" i="22" s="1"/>
  <c r="AM88" i="22" s="1"/>
  <c r="AN88" i="22" s="1"/>
  <c r="AO88" i="22" s="1"/>
  <c r="AP88" i="22" s="1"/>
  <c r="AQ88" i="22" s="1"/>
  <c r="AR88" i="22" s="1"/>
  <c r="AS88" i="22" s="1"/>
  <c r="AT88" i="22" s="1"/>
  <c r="AU88" i="22" s="1"/>
  <c r="AV88" i="22" s="1"/>
  <c r="AW88" i="22" s="1"/>
  <c r="AX88" i="22" s="1"/>
  <c r="AY88" i="22" s="1"/>
  <c r="AZ88" i="22" s="1"/>
  <c r="BA88" i="22" s="1"/>
  <c r="BB88" i="22" s="1"/>
  <c r="BC88" i="22" s="1"/>
  <c r="BD88" i="22" s="1"/>
  <c r="M83" i="22"/>
  <c r="AD40" i="17"/>
  <c r="AD39" i="17"/>
  <c r="AD41" i="17"/>
  <c r="J81" i="19"/>
  <c r="AW3" i="27"/>
  <c r="AW5" i="27" s="1"/>
  <c r="L83" i="22"/>
  <c r="AM58" i="16"/>
  <c r="AI72" i="31"/>
  <c r="AI60" i="31"/>
  <c r="AI61" i="31" s="1"/>
  <c r="AI53" i="31"/>
  <c r="AY51" i="11"/>
  <c r="AI65" i="31"/>
  <c r="AQ57" i="18"/>
  <c r="AH73" i="31"/>
  <c r="AH74" i="31" s="1"/>
  <c r="AI71" i="31"/>
  <c r="AN58" i="31"/>
  <c r="AO57" i="31"/>
  <c r="AM36" i="31"/>
  <c r="AL37" i="31"/>
  <c r="AH66" i="31"/>
  <c r="AH67" i="31" s="1"/>
  <c r="AH68" i="31" s="1"/>
  <c r="AH62" i="31"/>
  <c r="AX85" i="11" s="1"/>
  <c r="E97" i="11" s="1"/>
  <c r="AX62" i="11"/>
  <c r="AK45" i="31"/>
  <c r="AK40" i="31"/>
  <c r="AK43" i="31"/>
  <c r="AK42" i="31"/>
  <c r="AK41" i="31"/>
  <c r="AK44" i="31"/>
  <c r="AJ46" i="31"/>
  <c r="AJ49" i="31" s="1"/>
  <c r="AJ52" i="31" s="1"/>
  <c r="AP47" i="27"/>
  <c r="AP49" i="27" s="1"/>
  <c r="AQ44" i="27"/>
  <c r="AQ46" i="27" s="1"/>
  <c r="AK63" i="22"/>
  <c r="AQ35" i="17" a="1"/>
  <c r="AQ35" i="17" s="1"/>
  <c r="AR35" i="17" s="1" a="1"/>
  <c r="AR35" i="17" s="1"/>
  <c r="M409" i="1"/>
  <c r="N409" i="1" s="1"/>
  <c r="M380" i="1"/>
  <c r="N380" i="1" s="1"/>
  <c r="M359" i="1"/>
  <c r="N359" i="1" s="1"/>
  <c r="M365" i="1"/>
  <c r="N365" i="1" s="1"/>
  <c r="M405" i="1"/>
  <c r="N405" i="1" s="1"/>
  <c r="M427" i="1"/>
  <c r="N427" i="1" s="1"/>
  <c r="M363" i="1"/>
  <c r="N363" i="1" s="1"/>
  <c r="M401" i="1"/>
  <c r="N401" i="1" s="1"/>
  <c r="M415" i="1"/>
  <c r="N415" i="1" s="1"/>
  <c r="M379" i="1"/>
  <c r="N379" i="1" s="1"/>
  <c r="M358" i="1"/>
  <c r="N358" i="1" s="1"/>
  <c r="M364" i="1"/>
  <c r="N364" i="1" s="1"/>
  <c r="M362" i="1"/>
  <c r="N362" i="1" s="1"/>
  <c r="M417" i="1"/>
  <c r="N417" i="1" s="1"/>
  <c r="M408" i="1"/>
  <c r="N408" i="1" s="1"/>
  <c r="M404" i="1"/>
  <c r="N404" i="1" s="1"/>
  <c r="K26" i="3"/>
  <c r="K28" i="3" s="1"/>
  <c r="K29" i="3" s="1"/>
  <c r="M355" i="1"/>
  <c r="N355" i="1" s="1"/>
  <c r="M426" i="1"/>
  <c r="N426" i="1" s="1"/>
  <c r="M430" i="1"/>
  <c r="N430" i="1" s="1"/>
  <c r="M370" i="1"/>
  <c r="N370" i="1" s="1"/>
  <c r="M357" i="1"/>
  <c r="N357" i="1" s="1"/>
  <c r="J26" i="3"/>
  <c r="J28" i="3" s="1"/>
  <c r="J29" i="3" s="1"/>
  <c r="J4" i="8" s="1"/>
  <c r="J7" i="8" s="1"/>
  <c r="J21" i="8" s="1"/>
  <c r="M416" i="1"/>
  <c r="N416" i="1" s="1"/>
  <c r="M407" i="1"/>
  <c r="N407" i="1" s="1"/>
  <c r="M403" i="1"/>
  <c r="N403" i="1" s="1"/>
  <c r="M400" i="1"/>
  <c r="N400" i="1" s="1"/>
  <c r="M424" i="1"/>
  <c r="N424" i="1" s="1"/>
  <c r="M425" i="1"/>
  <c r="N425" i="1" s="1"/>
  <c r="M372" i="1"/>
  <c r="N372" i="1" s="1"/>
  <c r="M361" i="1"/>
  <c r="N361" i="1" s="1"/>
  <c r="M371" i="1"/>
  <c r="N371" i="1" s="1"/>
  <c r="M360" i="1"/>
  <c r="N360" i="1" s="1"/>
  <c r="M356" i="1"/>
  <c r="N356" i="1" s="1"/>
  <c r="M353" i="1"/>
  <c r="N353" i="1" s="1"/>
  <c r="M410" i="1"/>
  <c r="N410" i="1" s="1"/>
  <c r="M406" i="1"/>
  <c r="N406" i="1" s="1"/>
  <c r="M402" i="1"/>
  <c r="N402" i="1" s="1"/>
  <c r="M398" i="1"/>
  <c r="N398" i="1" s="1"/>
  <c r="M399" i="1"/>
  <c r="N399" i="1" s="1"/>
  <c r="M428" i="1"/>
  <c r="N428" i="1" s="1"/>
  <c r="M354" i="1"/>
  <c r="N354" i="1" s="1"/>
  <c r="M381" i="1"/>
  <c r="N381" i="1" s="1"/>
  <c r="AK81" i="29"/>
  <c r="AK82" i="29" s="1"/>
  <c r="AL86" i="29"/>
  <c r="AZ50" i="11"/>
  <c r="AL79" i="29"/>
  <c r="AL67" i="29"/>
  <c r="AK87" i="29"/>
  <c r="AK88" i="29" s="1"/>
  <c r="AL85" i="29"/>
  <c r="AN51" i="29"/>
  <c r="AN54" i="29" s="1"/>
  <c r="AN46" i="29"/>
  <c r="AM55" i="29"/>
  <c r="AM74" i="29" s="1"/>
  <c r="AM75" i="29" s="1"/>
  <c r="AM76" i="29" s="1"/>
  <c r="BE84" i="11" s="1"/>
  <c r="AR72" i="29"/>
  <c r="AM62" i="29"/>
  <c r="AM63" i="29" s="1"/>
  <c r="AM66" i="29" s="1"/>
  <c r="AY72" i="11"/>
  <c r="E10" i="11"/>
  <c r="L36" i="11"/>
  <c r="E32" i="11" s="1"/>
  <c r="AO58" i="29"/>
  <c r="AP42" i="29"/>
  <c r="AO44" i="29"/>
  <c r="AO48" i="29" s="1"/>
  <c r="AO52" i="29" s="1"/>
  <c r="AO43" i="29"/>
  <c r="AO47" i="29" s="1"/>
  <c r="AO45" i="29"/>
  <c r="AO49" i="29" s="1"/>
  <c r="AO53" i="29" s="1"/>
  <c r="AN59" i="29"/>
  <c r="AN60" i="29"/>
  <c r="AN61" i="29"/>
  <c r="AL80" i="29"/>
  <c r="AZ61" i="11"/>
  <c r="H19" i="3"/>
  <c r="H21" i="3" s="1"/>
  <c r="H22" i="3" s="1"/>
  <c r="M275" i="1" s="1"/>
  <c r="N275" i="1" s="1"/>
  <c r="J15" i="25"/>
  <c r="J17" i="25" s="1"/>
  <c r="G19" i="3"/>
  <c r="G21" i="3" s="1"/>
  <c r="G22" i="3" s="1"/>
  <c r="M227" i="1" s="1"/>
  <c r="N227" i="1" s="1"/>
  <c r="I15" i="25"/>
  <c r="I17" i="25" s="1"/>
  <c r="I19" i="3"/>
  <c r="I21" i="3" s="1"/>
  <c r="I22" i="3" s="1"/>
  <c r="M336" i="1" s="1"/>
  <c r="N336" i="1" s="1"/>
  <c r="K15" i="25"/>
  <c r="K17" i="25" s="1"/>
  <c r="F19" i="3"/>
  <c r="F21" i="3" s="1"/>
  <c r="F22" i="3" s="1"/>
  <c r="M174" i="1" s="1"/>
  <c r="N174" i="1" s="1"/>
  <c r="H15" i="25"/>
  <c r="H17" i="25" s="1"/>
  <c r="E19" i="3"/>
  <c r="E21" i="3" s="1"/>
  <c r="E22" i="3" s="1"/>
  <c r="M130" i="1" s="1"/>
  <c r="N130" i="1" s="1"/>
  <c r="G15" i="25"/>
  <c r="G17" i="25" s="1"/>
  <c r="AN36" i="18"/>
  <c r="AO34" i="18" s="1"/>
  <c r="AO35" i="18" s="1"/>
  <c r="AO62" i="22"/>
  <c r="AQ58" i="17"/>
  <c r="AQ74" i="22"/>
  <c r="AQ43" i="22"/>
  <c r="AQ44" i="22" s="1"/>
  <c r="AL59" i="16"/>
  <c r="AQ58" i="18"/>
  <c r="AE48" i="11"/>
  <c r="AG143" i="27"/>
  <c r="AG145" i="27" s="1"/>
  <c r="AP60" i="22"/>
  <c r="AP61" i="22" s="1"/>
  <c r="AY40" i="27"/>
  <c r="AZ38" i="27"/>
  <c r="AP55" i="11"/>
  <c r="AO66" i="11"/>
  <c r="AU41" i="27"/>
  <c r="AU43" i="27" s="1"/>
  <c r="C31" i="1"/>
  <c r="AD43" i="16" l="1"/>
  <c r="AD49" i="16" s="1"/>
  <c r="AD44" i="16"/>
  <c r="AD46" i="16"/>
  <c r="AD52" i="16" s="1"/>
  <c r="AD45" i="16"/>
  <c r="AD51" i="16" s="1"/>
  <c r="Y74" i="16"/>
  <c r="Z72" i="16"/>
  <c r="AN68" i="11"/>
  <c r="Z68" i="16"/>
  <c r="AP80" i="27" s="1"/>
  <c r="AP82" i="27" s="1"/>
  <c r="AA63" i="16"/>
  <c r="AO80" i="11" s="1"/>
  <c r="AA67" i="16"/>
  <c r="AQ77" i="27"/>
  <c r="AQ79" i="27" s="1"/>
  <c r="AD50" i="16"/>
  <c r="AC53" i="16"/>
  <c r="AF39" i="16"/>
  <c r="AE40" i="16"/>
  <c r="AB66" i="16"/>
  <c r="AB73" i="16"/>
  <c r="AR74" i="27"/>
  <c r="AR76" i="27" s="1"/>
  <c r="AB61" i="16"/>
  <c r="AB62" i="16" s="1"/>
  <c r="I67" i="18"/>
  <c r="I68" i="18" s="1"/>
  <c r="AW10" i="27"/>
  <c r="AW9" i="27"/>
  <c r="T40" i="22"/>
  <c r="AF38" i="17"/>
  <c r="AG36" i="16"/>
  <c r="AG38" i="16" s="1"/>
  <c r="Q56" i="22"/>
  <c r="Q57" i="22" s="1"/>
  <c r="Q67" i="22" s="1"/>
  <c r="Q66" i="22"/>
  <c r="AT170" i="27" s="1"/>
  <c r="O78" i="22"/>
  <c r="AP83" i="11" s="1"/>
  <c r="AR176" i="27"/>
  <c r="AR178" i="27" s="1"/>
  <c r="O82" i="22"/>
  <c r="O83" i="22" s="1"/>
  <c r="AP60" i="11"/>
  <c r="AP71" i="11" s="1"/>
  <c r="P68" i="22"/>
  <c r="P76" i="22"/>
  <c r="P77" i="22" s="1"/>
  <c r="AQ49" i="11"/>
  <c r="P69" i="22"/>
  <c r="AS173" i="27"/>
  <c r="AS175" i="27" s="1"/>
  <c r="P81" i="22"/>
  <c r="AT67" i="19"/>
  <c r="AH73" i="19" s="1"/>
  <c r="J83" i="19" s="1"/>
  <c r="AH72" i="19"/>
  <c r="J82" i="19" s="1"/>
  <c r="J101" i="19" s="1"/>
  <c r="AT92" i="19" s="1"/>
  <c r="U39" i="18"/>
  <c r="AX51" i="19"/>
  <c r="AW54" i="19"/>
  <c r="AW55" i="19" s="1"/>
  <c r="AW62" i="19" s="1"/>
  <c r="AQ176" i="27"/>
  <c r="AQ178" i="27" s="1"/>
  <c r="N78" i="22"/>
  <c r="AO83" i="11" s="1"/>
  <c r="N82" i="22"/>
  <c r="N83" i="22" s="1"/>
  <c r="AO60" i="11"/>
  <c r="M84" i="22"/>
  <c r="AP179" i="27"/>
  <c r="AP181" i="27" s="1"/>
  <c r="AV71" i="27"/>
  <c r="I73" i="18"/>
  <c r="I74" i="18" s="1"/>
  <c r="AE41" i="17"/>
  <c r="AE39" i="17"/>
  <c r="AE40" i="17"/>
  <c r="J48" i="18"/>
  <c r="J49" i="18" s="1"/>
  <c r="J52" i="18" s="1"/>
  <c r="K40" i="18"/>
  <c r="J43" i="18"/>
  <c r="AE137" i="27" s="1"/>
  <c r="K81" i="19"/>
  <c r="AX3" i="27"/>
  <c r="AX5" i="27" s="1"/>
  <c r="AO179" i="27"/>
  <c r="AO181" i="27" s="1"/>
  <c r="L84" i="22"/>
  <c r="AV8" i="27"/>
  <c r="AW6" i="27"/>
  <c r="S41" i="22"/>
  <c r="S48" i="22" s="1"/>
  <c r="S49" i="22" s="1"/>
  <c r="S50" i="22" s="1"/>
  <c r="S51" i="22" s="1"/>
  <c r="S42" i="22"/>
  <c r="AU59" i="19"/>
  <c r="AU60" i="19" s="1"/>
  <c r="AU61" i="19" s="1"/>
  <c r="AV56" i="19"/>
  <c r="N87" i="22"/>
  <c r="M89" i="22"/>
  <c r="M90" i="22" s="1"/>
  <c r="AJ71" i="19"/>
  <c r="AV63" i="19"/>
  <c r="AV65" i="19"/>
  <c r="R54" i="22"/>
  <c r="R55" i="22" s="1"/>
  <c r="R45" i="22"/>
  <c r="AN58" i="16"/>
  <c r="AK46" i="31"/>
  <c r="AK49" i="31" s="1"/>
  <c r="AK52" i="31" s="1"/>
  <c r="AO58" i="31"/>
  <c r="AP57" i="31"/>
  <c r="AR57" i="18"/>
  <c r="AR58" i="18" s="1"/>
  <c r="AI66" i="31"/>
  <c r="AI67" i="31" s="1"/>
  <c r="AI68" i="31" s="1"/>
  <c r="AI62" i="31"/>
  <c r="AY85" i="11" s="1"/>
  <c r="AY62" i="11"/>
  <c r="AY73" i="11" s="1"/>
  <c r="AX73" i="11"/>
  <c r="E22" i="11"/>
  <c r="L40" i="11" s="1"/>
  <c r="L41" i="11" s="1"/>
  <c r="E33" i="11" s="1"/>
  <c r="AL45" i="31"/>
  <c r="AL42" i="31"/>
  <c r="AL43" i="31"/>
  <c r="AL40" i="31"/>
  <c r="AL44" i="31"/>
  <c r="AL41" i="31"/>
  <c r="AJ71" i="31"/>
  <c r="AI73" i="31"/>
  <c r="AI74" i="31" s="1"/>
  <c r="AJ60" i="31"/>
  <c r="AJ61" i="31" s="1"/>
  <c r="AZ51" i="11"/>
  <c r="AJ72" i="31"/>
  <c r="AJ53" i="31"/>
  <c r="AJ65" i="31"/>
  <c r="AN36" i="31"/>
  <c r="AM37" i="31"/>
  <c r="AQ47" i="27"/>
  <c r="AQ49" i="27" s="1"/>
  <c r="AR44" i="27"/>
  <c r="AR46" i="27" s="1"/>
  <c r="AL63" i="22"/>
  <c r="K25" i="6"/>
  <c r="K4" i="8"/>
  <c r="K7" i="8" s="1"/>
  <c r="K21" i="8" s="1"/>
  <c r="AZ72" i="11"/>
  <c r="N392" i="1"/>
  <c r="M334" i="1"/>
  <c r="N334" i="1" s="1"/>
  <c r="J25" i="6"/>
  <c r="J26" i="6"/>
  <c r="M392" i="1"/>
  <c r="I32" i="1" s="1"/>
  <c r="J24" i="3" s="1"/>
  <c r="G26" i="3"/>
  <c r="G28" i="3" s="1"/>
  <c r="G29" i="3" s="1"/>
  <c r="G25" i="6" s="1"/>
  <c r="M134" i="1"/>
  <c r="N134" i="1" s="1"/>
  <c r="M270" i="1"/>
  <c r="N270" i="1" s="1"/>
  <c r="M311" i="1"/>
  <c r="N311" i="1" s="1"/>
  <c r="M273" i="1"/>
  <c r="N273" i="1" s="1"/>
  <c r="M315" i="1"/>
  <c r="N315" i="1" s="1"/>
  <c r="M128" i="1"/>
  <c r="N128" i="1" s="1"/>
  <c r="M268" i="1"/>
  <c r="N268" i="1" s="1"/>
  <c r="M263" i="1"/>
  <c r="N263" i="1" s="1"/>
  <c r="M267" i="1"/>
  <c r="N267" i="1" s="1"/>
  <c r="M319" i="1"/>
  <c r="N319" i="1" s="1"/>
  <c r="M309" i="1"/>
  <c r="N309" i="1" s="1"/>
  <c r="M133" i="1"/>
  <c r="N133" i="1" s="1"/>
  <c r="M271" i="1"/>
  <c r="N271" i="1" s="1"/>
  <c r="M274" i="1"/>
  <c r="N274" i="1" s="1"/>
  <c r="M312" i="1"/>
  <c r="N312" i="1" s="1"/>
  <c r="M308" i="1"/>
  <c r="N308" i="1" s="1"/>
  <c r="E26" i="3"/>
  <c r="E28" i="3" s="1"/>
  <c r="E29" i="3" s="1"/>
  <c r="E4" i="8" s="1"/>
  <c r="E7" i="8" s="1"/>
  <c r="E21" i="8" s="1"/>
  <c r="M272" i="1"/>
  <c r="N272" i="1" s="1"/>
  <c r="M266" i="1"/>
  <c r="N266" i="1" s="1"/>
  <c r="M310" i="1"/>
  <c r="N310" i="1" s="1"/>
  <c r="M320" i="1"/>
  <c r="N320" i="1" s="1"/>
  <c r="M327" i="1"/>
  <c r="N327" i="1" s="1"/>
  <c r="M325" i="1"/>
  <c r="N325" i="1" s="1"/>
  <c r="M335" i="1"/>
  <c r="N335" i="1" s="1"/>
  <c r="M132" i="1"/>
  <c r="N132" i="1" s="1"/>
  <c r="M129" i="1"/>
  <c r="N129" i="1" s="1"/>
  <c r="M318" i="1"/>
  <c r="N318" i="1" s="1"/>
  <c r="M317" i="1"/>
  <c r="N317" i="1" s="1"/>
  <c r="M314" i="1"/>
  <c r="N314" i="1" s="1"/>
  <c r="M289" i="1"/>
  <c r="N289" i="1" s="1"/>
  <c r="M135" i="1"/>
  <c r="N135" i="1" s="1"/>
  <c r="M131" i="1"/>
  <c r="N131" i="1" s="1"/>
  <c r="M269" i="1"/>
  <c r="N269" i="1" s="1"/>
  <c r="H26" i="3"/>
  <c r="H28" i="3" s="1"/>
  <c r="H29" i="3" s="1"/>
  <c r="M265" i="1"/>
  <c r="N265" i="1" s="1"/>
  <c r="M313" i="1"/>
  <c r="N313" i="1" s="1"/>
  <c r="M316" i="1"/>
  <c r="N316" i="1" s="1"/>
  <c r="I26" i="3"/>
  <c r="I28" i="3" s="1"/>
  <c r="I29" i="3" s="1"/>
  <c r="I25" i="6" s="1"/>
  <c r="M326" i="1"/>
  <c r="N326" i="1" s="1"/>
  <c r="M264" i="1"/>
  <c r="N264" i="1" s="1"/>
  <c r="M179" i="1"/>
  <c r="N179" i="1" s="1"/>
  <c r="M224" i="1"/>
  <c r="N224" i="1" s="1"/>
  <c r="M175" i="1"/>
  <c r="N175" i="1" s="1"/>
  <c r="M181" i="1"/>
  <c r="N181" i="1" s="1"/>
  <c r="M220" i="1"/>
  <c r="N220" i="1" s="1"/>
  <c r="M177" i="1"/>
  <c r="N177" i="1" s="1"/>
  <c r="M173" i="1"/>
  <c r="N173" i="1" s="1"/>
  <c r="M223" i="1"/>
  <c r="N223" i="1" s="1"/>
  <c r="M219" i="1"/>
  <c r="N219" i="1" s="1"/>
  <c r="AL81" i="29"/>
  <c r="AL82" i="29" s="1"/>
  <c r="M178" i="1"/>
  <c r="N178" i="1" s="1"/>
  <c r="M176" i="1"/>
  <c r="N176" i="1" s="1"/>
  <c r="F26" i="3"/>
  <c r="F28" i="3" s="1"/>
  <c r="F29" i="3" s="1"/>
  <c r="F26" i="6" s="1"/>
  <c r="M226" i="1"/>
  <c r="N226" i="1" s="1"/>
  <c r="M222" i="1"/>
  <c r="N222" i="1" s="1"/>
  <c r="M218" i="1"/>
  <c r="N218" i="1" s="1"/>
  <c r="M180" i="1"/>
  <c r="N180" i="1" s="1"/>
  <c r="M225" i="1"/>
  <c r="N225" i="1" s="1"/>
  <c r="M221" i="1"/>
  <c r="N221" i="1" s="1"/>
  <c r="AN62" i="29"/>
  <c r="AN63" i="29" s="1"/>
  <c r="AN66" i="29" s="1"/>
  <c r="AM86" i="29"/>
  <c r="BA50" i="11"/>
  <c r="AM79" i="29"/>
  <c r="AM67" i="29"/>
  <c r="AM80" i="29"/>
  <c r="BA61" i="11"/>
  <c r="AL87" i="29"/>
  <c r="AL88" i="29" s="1"/>
  <c r="AM85" i="29"/>
  <c r="AP58" i="29"/>
  <c r="AP45" i="29"/>
  <c r="AP49" i="29" s="1"/>
  <c r="AP53" i="29" s="1"/>
  <c r="AQ42" i="29"/>
  <c r="AP44" i="29"/>
  <c r="AP48" i="29" s="1"/>
  <c r="AP52" i="29" s="1"/>
  <c r="AP43" i="29"/>
  <c r="AP47" i="29" s="1"/>
  <c r="AS72" i="29"/>
  <c r="AO60" i="29"/>
  <c r="AO61" i="29"/>
  <c r="AO59" i="29"/>
  <c r="AO51" i="29"/>
  <c r="AO54" i="29" s="1"/>
  <c r="AO46" i="29"/>
  <c r="AN55" i="29"/>
  <c r="AN74" i="29" s="1"/>
  <c r="AN75" i="29" s="1"/>
  <c r="AN76" i="29" s="1"/>
  <c r="BF84" i="11" s="1"/>
  <c r="D19" i="3"/>
  <c r="D21" i="3" s="1"/>
  <c r="D22" i="3" s="1"/>
  <c r="M84" i="1" s="1"/>
  <c r="N84" i="1" s="1"/>
  <c r="F15" i="25"/>
  <c r="F17" i="25" s="1"/>
  <c r="AO36" i="18"/>
  <c r="AP34" i="18" s="1"/>
  <c r="AP35" i="18" s="1"/>
  <c r="AE59" i="11"/>
  <c r="AE70" i="11" s="1"/>
  <c r="AR74" i="22"/>
  <c r="AR43" i="22"/>
  <c r="AR44" i="22" s="1"/>
  <c r="AM59" i="16"/>
  <c r="AQ60" i="22"/>
  <c r="AQ61" i="22" s="1"/>
  <c r="AP62" i="22"/>
  <c r="AR58" i="17"/>
  <c r="AS35" i="17" a="1"/>
  <c r="AS35" i="17" s="1"/>
  <c r="AZ40" i="27"/>
  <c r="BA38" i="27"/>
  <c r="AV41" i="27"/>
  <c r="AV43" i="27" s="1"/>
  <c r="AQ55" i="11"/>
  <c r="AP66" i="11"/>
  <c r="N28" i="1"/>
  <c r="Z69" i="16" l="1"/>
  <c r="AE46" i="16"/>
  <c r="AE45" i="16"/>
  <c r="AE51" i="16" s="1"/>
  <c r="AE44" i="16"/>
  <c r="AE50" i="16" s="1"/>
  <c r="AE43" i="16"/>
  <c r="Z74" i="16"/>
  <c r="AA72" i="16"/>
  <c r="B77" i="16"/>
  <c r="E65" i="27" s="1"/>
  <c r="E67" i="27" s="1"/>
  <c r="Y75" i="16"/>
  <c r="AO57" i="11"/>
  <c r="AO68" i="11" s="1"/>
  <c r="AA68" i="16"/>
  <c r="AD53" i="16"/>
  <c r="AE49" i="16"/>
  <c r="AE52" i="16"/>
  <c r="AP46" i="11"/>
  <c r="AG39" i="16"/>
  <c r="AF40" i="16"/>
  <c r="AR77" i="27"/>
  <c r="AR79" i="27" s="1"/>
  <c r="AB63" i="16"/>
  <c r="AP80" i="11" s="1"/>
  <c r="AB67" i="16"/>
  <c r="AP57" i="11" s="1"/>
  <c r="AC73" i="16"/>
  <c r="AS74" i="27"/>
  <c r="AS76" i="27" s="1"/>
  <c r="AC66" i="16"/>
  <c r="AQ46" i="11" s="1"/>
  <c r="AC61" i="16"/>
  <c r="AC62" i="16" s="1"/>
  <c r="R56" i="22"/>
  <c r="R57" i="22" s="1"/>
  <c r="R67" i="22" s="1"/>
  <c r="R66" i="22"/>
  <c r="AU170" i="27" s="1"/>
  <c r="S54" i="22"/>
  <c r="S55" i="22" s="1"/>
  <c r="S45" i="22"/>
  <c r="AX9" i="27"/>
  <c r="AX10" i="27"/>
  <c r="J53" i="18"/>
  <c r="J65" i="18"/>
  <c r="J60" i="18"/>
  <c r="J61" i="18" s="1"/>
  <c r="AO71" i="11"/>
  <c r="AK71" i="19"/>
  <c r="AW63" i="19"/>
  <c r="AW65" i="19"/>
  <c r="AR179" i="27"/>
  <c r="AR181" i="27" s="1"/>
  <c r="O84" i="22"/>
  <c r="T41" i="22"/>
  <c r="T48" i="22" s="1"/>
  <c r="T49" i="22" s="1"/>
  <c r="T50" i="22" s="1"/>
  <c r="T51" i="22" s="1"/>
  <c r="T42" i="22"/>
  <c r="N89" i="22"/>
  <c r="N90" i="22" s="1"/>
  <c r="O87" i="22"/>
  <c r="N84" i="22"/>
  <c r="AQ179" i="27"/>
  <c r="AQ181" i="27" s="1"/>
  <c r="AY51" i="19"/>
  <c r="AX54" i="19"/>
  <c r="AX55" i="19" s="1"/>
  <c r="AX62" i="19" s="1"/>
  <c r="AS176" i="27"/>
  <c r="AS178" i="27" s="1"/>
  <c r="AQ60" i="11"/>
  <c r="AQ71" i="11" s="1"/>
  <c r="P78" i="22"/>
  <c r="AQ83" i="11" s="1"/>
  <c r="P82" i="22"/>
  <c r="P83" i="22" s="1"/>
  <c r="AV59" i="19"/>
  <c r="AV60" i="19" s="1"/>
  <c r="AV61" i="19" s="1"/>
  <c r="AW56" i="19"/>
  <c r="AW8" i="27"/>
  <c r="AX6" i="27"/>
  <c r="Q68" i="22"/>
  <c r="Q81" i="22"/>
  <c r="AR49" i="11"/>
  <c r="AT173" i="27"/>
  <c r="AT175" i="27" s="1"/>
  <c r="Q69" i="22"/>
  <c r="Q76" i="22"/>
  <c r="Q77" i="22" s="1"/>
  <c r="AW71" i="27"/>
  <c r="L81" i="19"/>
  <c r="AY3" i="27"/>
  <c r="AY5" i="27" s="1"/>
  <c r="AU67" i="19"/>
  <c r="AI73" i="19" s="1"/>
  <c r="K83" i="19" s="1"/>
  <c r="AI72" i="19"/>
  <c r="K82" i="19" s="1"/>
  <c r="K101" i="19" s="1"/>
  <c r="AU92" i="19" s="1"/>
  <c r="V39" i="18"/>
  <c r="K41" i="18"/>
  <c r="K46" i="18"/>
  <c r="U40" i="22"/>
  <c r="AG38" i="17"/>
  <c r="AH36" i="16"/>
  <c r="AH38" i="16" s="1"/>
  <c r="AF40" i="17"/>
  <c r="AF41" i="17"/>
  <c r="AF39" i="17"/>
  <c r="AO58" i="16"/>
  <c r="AP58" i="31"/>
  <c r="AQ57" i="31"/>
  <c r="AM42" i="31"/>
  <c r="AM40" i="31"/>
  <c r="AM41" i="31"/>
  <c r="AM43" i="31"/>
  <c r="AM44" i="31"/>
  <c r="AM45" i="31"/>
  <c r="AL46" i="31"/>
  <c r="AL49" i="31" s="1"/>
  <c r="AL52" i="31" s="1"/>
  <c r="AO36" i="31"/>
  <c r="AN37" i="31"/>
  <c r="AJ73" i="31"/>
  <c r="AJ74" i="31" s="1"/>
  <c r="AK71" i="31"/>
  <c r="AK65" i="31"/>
  <c r="AK53" i="31"/>
  <c r="AK60" i="31"/>
  <c r="AK61" i="31" s="1"/>
  <c r="AK72" i="31"/>
  <c r="BA51" i="11"/>
  <c r="AJ66" i="31"/>
  <c r="AJ67" i="31" s="1"/>
  <c r="AJ68" i="31" s="1"/>
  <c r="AJ62" i="31"/>
  <c r="AZ85" i="11" s="1"/>
  <c r="AZ62" i="11"/>
  <c r="AZ73" i="11" s="1"/>
  <c r="AS57" i="18"/>
  <c r="AS58" i="18" s="1"/>
  <c r="H4" i="8"/>
  <c r="H7" i="8" s="1"/>
  <c r="H21" i="8" s="1"/>
  <c r="H25" i="6"/>
  <c r="AR47" i="27"/>
  <c r="AR49" i="27" s="1"/>
  <c r="AS44" i="27"/>
  <c r="AS46" i="27" s="1"/>
  <c r="AM63" i="22"/>
  <c r="K26" i="6"/>
  <c r="K27" i="6" s="1"/>
  <c r="K28" i="6" s="1"/>
  <c r="J27" i="6"/>
  <c r="J28" i="6" s="1"/>
  <c r="BA72" i="11"/>
  <c r="G26" i="6"/>
  <c r="G27" i="6" s="1"/>
  <c r="G28" i="6" s="1"/>
  <c r="I4" i="8"/>
  <c r="I7" i="8" s="1"/>
  <c r="I21" i="8" s="1"/>
  <c r="G4" i="8"/>
  <c r="G7" i="8" s="1"/>
  <c r="G21" i="8" s="1"/>
  <c r="AM81" i="29"/>
  <c r="AM82" i="29" s="1"/>
  <c r="E25" i="6"/>
  <c r="E26" i="6"/>
  <c r="H26" i="6"/>
  <c r="I26" i="6"/>
  <c r="I27" i="6" s="1"/>
  <c r="I28" i="6" s="1"/>
  <c r="N347" i="1"/>
  <c r="N302" i="1"/>
  <c r="N167" i="1"/>
  <c r="M302" i="1"/>
  <c r="G32" i="1" s="1"/>
  <c r="H24" i="3" s="1"/>
  <c r="M167" i="1"/>
  <c r="D32" i="1" s="1"/>
  <c r="E24" i="3" s="1"/>
  <c r="M347" i="1"/>
  <c r="H32" i="1" s="1"/>
  <c r="I24" i="3" s="1"/>
  <c r="M86" i="1"/>
  <c r="N86" i="1" s="1"/>
  <c r="D26" i="3"/>
  <c r="D28" i="3" s="1"/>
  <c r="D29" i="3" s="1"/>
  <c r="D4" i="8" s="1"/>
  <c r="D7" i="8" s="1"/>
  <c r="D21" i="8" s="1"/>
  <c r="M88" i="1"/>
  <c r="N88" i="1" s="1"/>
  <c r="M85" i="1"/>
  <c r="N85" i="1" s="1"/>
  <c r="M87" i="1"/>
  <c r="N87" i="1" s="1"/>
  <c r="M89" i="1"/>
  <c r="N89" i="1" s="1"/>
  <c r="M90" i="1"/>
  <c r="N90" i="1" s="1"/>
  <c r="M83" i="1"/>
  <c r="N83" i="1" s="1"/>
  <c r="F25" i="6"/>
  <c r="F27" i="6" s="1"/>
  <c r="F28" i="6" s="1"/>
  <c r="N212" i="1"/>
  <c r="N257" i="1"/>
  <c r="M257" i="1"/>
  <c r="F32" i="1" s="1"/>
  <c r="G24" i="3" s="1"/>
  <c r="F4" i="8"/>
  <c r="F7" i="8" s="1"/>
  <c r="F21" i="8" s="1"/>
  <c r="M212" i="1"/>
  <c r="E32" i="1" s="1"/>
  <c r="F24" i="3" s="1"/>
  <c r="AO62" i="29"/>
  <c r="AO63" i="29" s="1"/>
  <c r="AO66" i="29" s="1"/>
  <c r="AO55" i="29"/>
  <c r="AO74" i="29" s="1"/>
  <c r="AO75" i="29" s="1"/>
  <c r="AO76" i="29" s="1"/>
  <c r="BG84" i="11" s="1"/>
  <c r="AQ43" i="29"/>
  <c r="AQ47" i="29" s="1"/>
  <c r="AQ44" i="29"/>
  <c r="AQ48" i="29" s="1"/>
  <c r="AQ52" i="29" s="1"/>
  <c r="AR42" i="29"/>
  <c r="AQ58" i="29"/>
  <c r="AQ45" i="29"/>
  <c r="AQ49" i="29" s="1"/>
  <c r="AQ53" i="29" s="1"/>
  <c r="BB50" i="11"/>
  <c r="AN86" i="29"/>
  <c r="AN67" i="29"/>
  <c r="AN79" i="29"/>
  <c r="AN80" i="29"/>
  <c r="BB61" i="11"/>
  <c r="AP51" i="29"/>
  <c r="AP54" i="29" s="1"/>
  <c r="AP46" i="29"/>
  <c r="AP60" i="29"/>
  <c r="AP61" i="29"/>
  <c r="AP59" i="29"/>
  <c r="AT72" i="29"/>
  <c r="AM87" i="29"/>
  <c r="AM88" i="29" s="1"/>
  <c r="AN85" i="29"/>
  <c r="AP36" i="18"/>
  <c r="AQ34" i="18" s="1"/>
  <c r="AQ35" i="18" s="1"/>
  <c r="AR60" i="22"/>
  <c r="AR61" i="22" s="1"/>
  <c r="AG146" i="27"/>
  <c r="AG148" i="27" s="1"/>
  <c r="AN59" i="16"/>
  <c r="AS58" i="17"/>
  <c r="AT35" i="17" a="1"/>
  <c r="AT35" i="17" s="1"/>
  <c r="AH140" i="27"/>
  <c r="AH142" i="27" s="1"/>
  <c r="AQ62" i="22"/>
  <c r="AS74" i="22"/>
  <c r="AS43" i="22"/>
  <c r="AS44" i="22" s="1"/>
  <c r="BB38" i="27"/>
  <c r="BA40" i="27"/>
  <c r="AW41" i="27"/>
  <c r="AW43" i="27" s="1"/>
  <c r="AR55" i="11"/>
  <c r="AQ66" i="11"/>
  <c r="AB68" i="16" l="1"/>
  <c r="AF45" i="16"/>
  <c r="AF46" i="16"/>
  <c r="AF52" i="16" s="1"/>
  <c r="AF44" i="16"/>
  <c r="AF50" i="16" s="1"/>
  <c r="AF43" i="16"/>
  <c r="B78" i="16"/>
  <c r="E68" i="27" s="1"/>
  <c r="E70" i="27" s="1"/>
  <c r="E73" i="27" s="1"/>
  <c r="Z75" i="16"/>
  <c r="AB72" i="16"/>
  <c r="AA74" i="16"/>
  <c r="AQ80" i="27"/>
  <c r="AQ82" i="27" s="1"/>
  <c r="AA69" i="16"/>
  <c r="AC63" i="16"/>
  <c r="AQ80" i="11" s="1"/>
  <c r="AS77" i="27"/>
  <c r="AS79" i="27" s="1"/>
  <c r="AC67" i="16"/>
  <c r="AH39" i="16"/>
  <c r="AG40" i="16"/>
  <c r="AR80" i="27"/>
  <c r="AR82" i="27" s="1"/>
  <c r="AB69" i="16"/>
  <c r="AP68" i="11"/>
  <c r="AE53" i="16"/>
  <c r="AF49" i="16"/>
  <c r="AF51" i="16"/>
  <c r="AD66" i="16"/>
  <c r="AR46" i="11" s="1"/>
  <c r="AD61" i="16"/>
  <c r="AD62" i="16" s="1"/>
  <c r="AD73" i="16"/>
  <c r="AT74" i="27"/>
  <c r="AT76" i="27" s="1"/>
  <c r="U42" i="22"/>
  <c r="U41" i="22"/>
  <c r="U48" i="22" s="1"/>
  <c r="U49" i="22" s="1"/>
  <c r="U50" i="22" s="1"/>
  <c r="U51" i="22" s="1"/>
  <c r="AR60" i="11"/>
  <c r="AR71" i="11" s="1"/>
  <c r="Q78" i="22"/>
  <c r="AR83" i="11" s="1"/>
  <c r="AT176" i="27"/>
  <c r="AT178" i="27" s="1"/>
  <c r="Q82" i="22"/>
  <c r="Q83" i="22" s="1"/>
  <c r="AW59" i="19"/>
  <c r="AW60" i="19" s="1"/>
  <c r="AW61" i="19" s="1"/>
  <c r="AX56" i="19"/>
  <c r="P87" i="22"/>
  <c r="O89" i="22"/>
  <c r="O90" i="22" s="1"/>
  <c r="AX71" i="27"/>
  <c r="K47" i="18"/>
  <c r="K42" i="18"/>
  <c r="AY10" i="27"/>
  <c r="AY9" i="27"/>
  <c r="AJ72" i="19"/>
  <c r="L82" i="19" s="1"/>
  <c r="L101" i="19" s="1"/>
  <c r="AV92" i="19" s="1"/>
  <c r="AV67" i="19"/>
  <c r="AJ73" i="19" s="1"/>
  <c r="L83" i="19" s="1"/>
  <c r="W39" i="18"/>
  <c r="M81" i="19"/>
  <c r="AZ3" i="27"/>
  <c r="AZ5" i="27" s="1"/>
  <c r="S56" i="22"/>
  <c r="S57" i="22" s="1"/>
  <c r="S67" i="22" s="1"/>
  <c r="S66" i="22"/>
  <c r="AV170" i="27" s="1"/>
  <c r="V40" i="22"/>
  <c r="AH38" i="17"/>
  <c r="AI36" i="16"/>
  <c r="AI38" i="16" s="1"/>
  <c r="AZ51" i="19"/>
  <c r="AY54" i="19"/>
  <c r="AY55" i="19" s="1"/>
  <c r="AY62" i="19" s="1"/>
  <c r="T54" i="22"/>
  <c r="T55" i="22" s="1"/>
  <c r="T45" i="22"/>
  <c r="AG40" i="17"/>
  <c r="AG41" i="17"/>
  <c r="AG39" i="17"/>
  <c r="AX8" i="27"/>
  <c r="AY6" i="27"/>
  <c r="P84" i="22"/>
  <c r="AS179" i="27"/>
  <c r="AS181" i="27" s="1"/>
  <c r="AL71" i="19"/>
  <c r="AX63" i="19"/>
  <c r="AX65" i="19"/>
  <c r="J62" i="18"/>
  <c r="AK82" i="11" s="1"/>
  <c r="J66" i="18"/>
  <c r="J71" i="18" s="1"/>
  <c r="J73" i="18" s="1"/>
  <c r="J74" i="18" s="1"/>
  <c r="J72" i="18"/>
  <c r="AU173" i="27"/>
  <c r="AU175" i="27" s="1"/>
  <c r="R68" i="22"/>
  <c r="AS49" i="11"/>
  <c r="R81" i="22"/>
  <c r="R69" i="22"/>
  <c r="R76" i="22"/>
  <c r="R77" i="22" s="1"/>
  <c r="AP58" i="16"/>
  <c r="AP36" i="31"/>
  <c r="AO37" i="31"/>
  <c r="AQ58" i="31"/>
  <c r="AR57" i="31"/>
  <c r="AL71" i="31"/>
  <c r="AK73" i="31"/>
  <c r="AK74" i="31" s="1"/>
  <c r="AL60" i="31"/>
  <c r="AL61" i="31" s="1"/>
  <c r="AL72" i="31"/>
  <c r="BB51" i="11"/>
  <c r="AL65" i="31"/>
  <c r="AL53" i="31"/>
  <c r="AT57" i="18"/>
  <c r="AK62" i="31"/>
  <c r="BA85" i="11" s="1"/>
  <c r="AK66" i="31"/>
  <c r="AK67" i="31" s="1"/>
  <c r="AK68" i="31" s="1"/>
  <c r="BA62" i="11"/>
  <c r="BA73" i="11" s="1"/>
  <c r="AM46" i="31"/>
  <c r="AM49" i="31" s="1"/>
  <c r="AM52" i="31" s="1"/>
  <c r="AN41" i="31"/>
  <c r="AN40" i="31"/>
  <c r="AN45" i="31"/>
  <c r="AN43" i="31"/>
  <c r="AN42" i="31"/>
  <c r="AN44" i="31"/>
  <c r="AT44" i="27"/>
  <c r="AT46" i="27" s="1"/>
  <c r="AS47" i="27"/>
  <c r="AS49" i="27" s="1"/>
  <c r="AN63" i="22"/>
  <c r="E27" i="6"/>
  <c r="E28" i="6" s="1"/>
  <c r="H27" i="6"/>
  <c r="H28" i="6" s="1"/>
  <c r="D25" i="6"/>
  <c r="D26" i="6"/>
  <c r="N122" i="1"/>
  <c r="M122" i="1"/>
  <c r="C32" i="1" s="1"/>
  <c r="D24" i="3" s="1"/>
  <c r="AP62" i="29"/>
  <c r="AP63" i="29" s="1"/>
  <c r="AP66" i="29" s="1"/>
  <c r="AP55" i="29"/>
  <c r="AP74" i="29" s="1"/>
  <c r="AP75" i="29" s="1"/>
  <c r="AP76" i="29" s="1"/>
  <c r="BH84" i="11" s="1"/>
  <c r="AR58" i="29"/>
  <c r="AS42" i="29"/>
  <c r="AR44" i="29"/>
  <c r="AR48" i="29" s="1"/>
  <c r="AR52" i="29" s="1"/>
  <c r="AR43" i="29"/>
  <c r="AR47" i="29" s="1"/>
  <c r="AR45" i="29"/>
  <c r="AR49" i="29" s="1"/>
  <c r="AR53" i="29" s="1"/>
  <c r="AO86" i="29"/>
  <c r="BC50" i="11"/>
  <c r="AO67" i="29"/>
  <c r="AO79" i="29"/>
  <c r="AU72" i="29"/>
  <c r="BB72" i="11"/>
  <c r="AQ51" i="29"/>
  <c r="AQ54" i="29" s="1"/>
  <c r="AQ46" i="29"/>
  <c r="AN87" i="29"/>
  <c r="AN88" i="29" s="1"/>
  <c r="AO85" i="29"/>
  <c r="AN81" i="29"/>
  <c r="AN82" i="29" s="1"/>
  <c r="AQ61" i="29"/>
  <c r="AQ59" i="29"/>
  <c r="AQ60" i="29"/>
  <c r="AO80" i="29"/>
  <c r="BC61" i="11"/>
  <c r="C19" i="3"/>
  <c r="E15" i="25"/>
  <c r="E17" i="25" s="1"/>
  <c r="AS60" i="22"/>
  <c r="AS61" i="22" s="1"/>
  <c r="AT58" i="18"/>
  <c r="AF48" i="11"/>
  <c r="AQ36" i="18"/>
  <c r="AR34" i="18" s="1"/>
  <c r="AR35" i="18" s="1"/>
  <c r="AT74" i="22"/>
  <c r="AT43" i="22"/>
  <c r="AT44" i="22" s="1"/>
  <c r="AH143" i="27"/>
  <c r="AH145" i="27" s="1"/>
  <c r="AT58" i="17"/>
  <c r="AU35" i="17" a="1"/>
  <c r="AU35" i="17" s="1"/>
  <c r="AO59" i="16"/>
  <c r="AR62" i="22"/>
  <c r="BC38" i="27"/>
  <c r="BB40" i="27"/>
  <c r="AS55" i="11"/>
  <c r="AR66" i="11"/>
  <c r="AX41" i="27"/>
  <c r="AX43" i="27" s="1"/>
  <c r="N31" i="1"/>
  <c r="AG44" i="16" l="1"/>
  <c r="AG43" i="16"/>
  <c r="AG46" i="16"/>
  <c r="AG52" i="16" s="1"/>
  <c r="AG45" i="16"/>
  <c r="AG51" i="16" s="1"/>
  <c r="AA75" i="16"/>
  <c r="AB74" i="16"/>
  <c r="AC72" i="16"/>
  <c r="AF53" i="16"/>
  <c r="AF66" i="16" s="1"/>
  <c r="AT46" i="11" s="1"/>
  <c r="AD63" i="16"/>
  <c r="AR80" i="11" s="1"/>
  <c r="AD67" i="16"/>
  <c r="AT77" i="27"/>
  <c r="AT79" i="27" s="1"/>
  <c r="AQ57" i="11"/>
  <c r="AQ68" i="11" s="1"/>
  <c r="AC68" i="16"/>
  <c r="AE61" i="16"/>
  <c r="AE62" i="16" s="1"/>
  <c r="AE66" i="16"/>
  <c r="AS46" i="11" s="1"/>
  <c r="AE73" i="16"/>
  <c r="AU74" i="27"/>
  <c r="AU76" i="27" s="1"/>
  <c r="AG49" i="16"/>
  <c r="AG50" i="16"/>
  <c r="AI39" i="16"/>
  <c r="AH40" i="16"/>
  <c r="AU176" i="27"/>
  <c r="AU178" i="27" s="1"/>
  <c r="R82" i="22"/>
  <c r="R83" i="22" s="1"/>
  <c r="AS60" i="11"/>
  <c r="R78" i="22"/>
  <c r="AS83" i="11" s="1"/>
  <c r="AY71" i="27"/>
  <c r="P89" i="22"/>
  <c r="P90" i="22" s="1"/>
  <c r="Q87" i="22"/>
  <c r="B86" i="19"/>
  <c r="BA3" i="27"/>
  <c r="BA5" i="27" s="1"/>
  <c r="AH39" i="17"/>
  <c r="AH40" i="17"/>
  <c r="AH41" i="17"/>
  <c r="AY8" i="27"/>
  <c r="AZ6" i="27"/>
  <c r="AM71" i="19"/>
  <c r="AY63" i="19"/>
  <c r="AY65" i="19"/>
  <c r="AT49" i="11"/>
  <c r="S76" i="22"/>
  <c r="S77" i="22" s="1"/>
  <c r="S68" i="22"/>
  <c r="S69" i="22"/>
  <c r="S81" i="22"/>
  <c r="AV173" i="27"/>
  <c r="AV175" i="27" s="1"/>
  <c r="T56" i="22"/>
  <c r="T57" i="22" s="1"/>
  <c r="T67" i="22" s="1"/>
  <c r="T66" i="22"/>
  <c r="AW170" i="27" s="1"/>
  <c r="AZ10" i="27"/>
  <c r="AZ9" i="27"/>
  <c r="AX59" i="19"/>
  <c r="AX60" i="19" s="1"/>
  <c r="AX61" i="19" s="1"/>
  <c r="AY56" i="19"/>
  <c r="J67" i="18"/>
  <c r="J68" i="18" s="1"/>
  <c r="V42" i="22"/>
  <c r="V41" i="22"/>
  <c r="V48" i="22" s="1"/>
  <c r="V49" i="22" s="1"/>
  <c r="V50" i="22" s="1"/>
  <c r="V51" i="22" s="1"/>
  <c r="L40" i="18"/>
  <c r="K48" i="18"/>
  <c r="K49" i="18" s="1"/>
  <c r="K52" i="18" s="1"/>
  <c r="K43" i="18"/>
  <c r="AF137" i="27" s="1"/>
  <c r="AW67" i="19"/>
  <c r="AK73" i="19" s="1"/>
  <c r="M83" i="19" s="1"/>
  <c r="AK72" i="19"/>
  <c r="M82" i="19" s="1"/>
  <c r="X39" i="18"/>
  <c r="U54" i="22"/>
  <c r="U55" i="22" s="1"/>
  <c r="U45" i="22"/>
  <c r="BA51" i="19"/>
  <c r="AZ54" i="19"/>
  <c r="AZ55" i="19" s="1"/>
  <c r="AZ62" i="19" s="1"/>
  <c r="W40" i="22"/>
  <c r="AI38" i="17"/>
  <c r="AJ36" i="16"/>
  <c r="AJ38" i="16" s="1"/>
  <c r="AT179" i="27"/>
  <c r="AT181" i="27" s="1"/>
  <c r="Q84" i="22"/>
  <c r="AQ58" i="16"/>
  <c r="BC51" i="11"/>
  <c r="AM60" i="31"/>
  <c r="AM61" i="31" s="1"/>
  <c r="AM53" i="31"/>
  <c r="AM65" i="31"/>
  <c r="AM72" i="31"/>
  <c r="AL73" i="31"/>
  <c r="AL74" i="31" s="1"/>
  <c r="AM71" i="31"/>
  <c r="AP37" i="31"/>
  <c r="AQ36" i="31"/>
  <c r="AN46" i="31"/>
  <c r="AN49" i="31" s="1"/>
  <c r="AN52" i="31" s="1"/>
  <c r="AU57" i="18"/>
  <c r="AR58" i="31"/>
  <c r="AS57" i="31"/>
  <c r="AL62" i="31"/>
  <c r="BB85" i="11" s="1"/>
  <c r="AL66" i="31"/>
  <c r="AL67" i="31" s="1"/>
  <c r="AL68" i="31" s="1"/>
  <c r="BB62" i="11"/>
  <c r="BB73" i="11" s="1"/>
  <c r="AO41" i="31"/>
  <c r="AO45" i="31"/>
  <c r="AO42" i="31"/>
  <c r="AO44" i="31"/>
  <c r="AO40" i="31"/>
  <c r="AO43" i="31"/>
  <c r="AU44" i="27"/>
  <c r="AU46" i="27" s="1"/>
  <c r="AT47" i="27"/>
  <c r="AT49" i="27" s="1"/>
  <c r="AO63" i="22"/>
  <c r="D27" i="6"/>
  <c r="D28" i="6" s="1"/>
  <c r="AV72" i="29"/>
  <c r="AP86" i="29"/>
  <c r="BD50" i="11"/>
  <c r="AP67" i="29"/>
  <c r="AP79" i="29"/>
  <c r="AO87" i="29"/>
  <c r="AO88" i="29" s="1"/>
  <c r="AP85" i="29"/>
  <c r="AQ62" i="29"/>
  <c r="AQ63" i="29" s="1"/>
  <c r="AQ66" i="29" s="1"/>
  <c r="AR51" i="29"/>
  <c r="AR54" i="29" s="1"/>
  <c r="AR46" i="29"/>
  <c r="AP80" i="29"/>
  <c r="BD61" i="11"/>
  <c r="BC72" i="11"/>
  <c r="AQ55" i="29"/>
  <c r="AQ74" i="29" s="1"/>
  <c r="AQ75" i="29" s="1"/>
  <c r="AQ76" i="29" s="1"/>
  <c r="BI84" i="11" s="1"/>
  <c r="AS58" i="29"/>
  <c r="AT42" i="29"/>
  <c r="AS44" i="29"/>
  <c r="AS48" i="29" s="1"/>
  <c r="AS52" i="29" s="1"/>
  <c r="AS43" i="29"/>
  <c r="AS47" i="29" s="1"/>
  <c r="AS45" i="29"/>
  <c r="AS49" i="29" s="1"/>
  <c r="AS53" i="29" s="1"/>
  <c r="AO81" i="29"/>
  <c r="AO82" i="29" s="1"/>
  <c r="AR59" i="29"/>
  <c r="AR60" i="29"/>
  <c r="AR61" i="29"/>
  <c r="AR36" i="18"/>
  <c r="AS34" i="18" s="1"/>
  <c r="AS35" i="18" s="1"/>
  <c r="AT60" i="22"/>
  <c r="AT61" i="22" s="1"/>
  <c r="AF59" i="11"/>
  <c r="AF70" i="11" s="1"/>
  <c r="AP59" i="16"/>
  <c r="AU58" i="17"/>
  <c r="AV35" i="17" a="1"/>
  <c r="AV35" i="17" s="1"/>
  <c r="AU74" i="22"/>
  <c r="AU43" i="22"/>
  <c r="AU44" i="22" s="1"/>
  <c r="AU58" i="18"/>
  <c r="AS62" i="22"/>
  <c r="BC40" i="27"/>
  <c r="BD38" i="27"/>
  <c r="AY41" i="27"/>
  <c r="AY43" i="27" s="1"/>
  <c r="AT55" i="11"/>
  <c r="AS66" i="11"/>
  <c r="C21" i="3"/>
  <c r="O19" i="3"/>
  <c r="AB75" i="16" l="1"/>
  <c r="AH43" i="16"/>
  <c r="AH49" i="16" s="1"/>
  <c r="AH46" i="16"/>
  <c r="AH52" i="16" s="1"/>
  <c r="AH45" i="16"/>
  <c r="AH51" i="16" s="1"/>
  <c r="AH44" i="16"/>
  <c r="AC74" i="16"/>
  <c r="AD72" i="16"/>
  <c r="AV74" i="27"/>
  <c r="AV76" i="27" s="1"/>
  <c r="AF61" i="16"/>
  <c r="AF62" i="16" s="1"/>
  <c r="AF73" i="16"/>
  <c r="AJ39" i="16"/>
  <c r="AI40" i="16"/>
  <c r="AU77" i="27"/>
  <c r="AU79" i="27" s="1"/>
  <c r="AE67" i="16"/>
  <c r="AE63" i="16"/>
  <c r="AS80" i="11" s="1"/>
  <c r="AR57" i="11"/>
  <c r="AR68" i="11" s="1"/>
  <c r="AD68" i="16"/>
  <c r="AG53" i="16"/>
  <c r="AC69" i="16"/>
  <c r="AS80" i="27"/>
  <c r="AS82" i="27" s="1"/>
  <c r="AH50" i="16"/>
  <c r="U56" i="22"/>
  <c r="U57" i="22" s="1"/>
  <c r="U67" i="22" s="1"/>
  <c r="U66" i="22"/>
  <c r="AX170" i="27" s="1"/>
  <c r="L41" i="18"/>
  <c r="L46" i="18"/>
  <c r="AZ8" i="27"/>
  <c r="BA6" i="27"/>
  <c r="AS71" i="11"/>
  <c r="AN71" i="19"/>
  <c r="AZ63" i="19"/>
  <c r="AZ65" i="19"/>
  <c r="BA9" i="27"/>
  <c r="BA10" i="27"/>
  <c r="AU179" i="27"/>
  <c r="AU181" i="27" s="1"/>
  <c r="R84" i="22"/>
  <c r="AZ71" i="27"/>
  <c r="BB51" i="19"/>
  <c r="BA54" i="19"/>
  <c r="BA55" i="19" s="1"/>
  <c r="BA62" i="19" s="1"/>
  <c r="F24" i="7"/>
  <c r="M101" i="19"/>
  <c r="AW92" i="19" s="1"/>
  <c r="V54" i="22"/>
  <c r="V55" i="22" s="1"/>
  <c r="V45" i="22"/>
  <c r="AY59" i="19"/>
  <c r="AY60" i="19" s="1"/>
  <c r="AY61" i="19" s="1"/>
  <c r="AZ56" i="19"/>
  <c r="W41" i="22"/>
  <c r="W48" i="22" s="1"/>
  <c r="W49" i="22" s="1"/>
  <c r="W50" i="22" s="1"/>
  <c r="W51" i="22" s="1"/>
  <c r="W42" i="22"/>
  <c r="AI41" i="17"/>
  <c r="AI39" i="17"/>
  <c r="AI40" i="17"/>
  <c r="K65" i="18"/>
  <c r="K53" i="18"/>
  <c r="K60" i="18"/>
  <c r="K61" i="18" s="1"/>
  <c r="AL72" i="19"/>
  <c r="B87" i="19" s="1"/>
  <c r="B104" i="19" s="1"/>
  <c r="AX92" i="19" s="1"/>
  <c r="AX67" i="19"/>
  <c r="AL73" i="19" s="1"/>
  <c r="B88" i="19" s="1"/>
  <c r="Y39" i="18"/>
  <c r="T68" i="22"/>
  <c r="T69" i="22"/>
  <c r="AU49" i="11"/>
  <c r="T76" i="22"/>
  <c r="T77" i="22" s="1"/>
  <c r="AW173" i="27"/>
  <c r="AW175" i="27" s="1"/>
  <c r="T81" i="22"/>
  <c r="AV176" i="27"/>
  <c r="AV178" i="27" s="1"/>
  <c r="S82" i="22"/>
  <c r="S83" i="22" s="1"/>
  <c r="S78" i="22"/>
  <c r="AT83" i="11" s="1"/>
  <c r="AT60" i="11"/>
  <c r="AT71" i="11" s="1"/>
  <c r="C86" i="19"/>
  <c r="BB3" i="27"/>
  <c r="BB5" i="27" s="1"/>
  <c r="R87" i="22"/>
  <c r="Q89" i="22"/>
  <c r="Q90" i="22" s="1"/>
  <c r="AR58" i="16"/>
  <c r="AV57" i="18"/>
  <c r="AM73" i="31"/>
  <c r="AN71" i="31"/>
  <c r="AS58" i="31"/>
  <c r="AT57" i="31"/>
  <c r="AN72" i="31"/>
  <c r="AN60" i="31"/>
  <c r="AN61" i="31" s="1"/>
  <c r="AN53" i="31"/>
  <c r="AN65" i="31"/>
  <c r="BD51" i="11"/>
  <c r="AM66" i="31"/>
  <c r="AM67" i="31" s="1"/>
  <c r="AM68" i="31" s="1"/>
  <c r="AM62" i="31"/>
  <c r="BC85" i="11" s="1"/>
  <c r="BC62" i="11"/>
  <c r="BC73" i="11" s="1"/>
  <c r="AR36" i="31"/>
  <c r="AQ37" i="31"/>
  <c r="AO46" i="31"/>
  <c r="AO49" i="31" s="1"/>
  <c r="AO52" i="31" s="1"/>
  <c r="AP45" i="31"/>
  <c r="AP42" i="31"/>
  <c r="AP43" i="31"/>
  <c r="AP40" i="31"/>
  <c r="AP44" i="31"/>
  <c r="AP41" i="31"/>
  <c r="AM74" i="31"/>
  <c r="AU47" i="27"/>
  <c r="AU49" i="27" s="1"/>
  <c r="AV44" i="27"/>
  <c r="AV46" i="27" s="1"/>
  <c r="BD72" i="11"/>
  <c r="AP63" i="22"/>
  <c r="AP81" i="29"/>
  <c r="AP82" i="29" s="1"/>
  <c r="AQ86" i="29"/>
  <c r="BE50" i="11"/>
  <c r="AQ67" i="29"/>
  <c r="AQ79" i="29"/>
  <c r="AT58" i="29"/>
  <c r="AT45" i="29"/>
  <c r="AT49" i="29" s="1"/>
  <c r="AT53" i="29" s="1"/>
  <c r="AT44" i="29"/>
  <c r="AT48" i="29" s="1"/>
  <c r="AT52" i="29" s="1"/>
  <c r="AT43" i="29"/>
  <c r="AT47" i="29" s="1"/>
  <c r="AU42" i="29"/>
  <c r="AW72" i="29"/>
  <c r="AS59" i="29"/>
  <c r="AS60" i="29"/>
  <c r="AS61" i="29"/>
  <c r="AR55" i="29"/>
  <c r="AR74" i="29" s="1"/>
  <c r="AR75" i="29" s="1"/>
  <c r="AR76" i="29" s="1"/>
  <c r="BJ84" i="11" s="1"/>
  <c r="F96" i="11" s="1"/>
  <c r="AS51" i="29"/>
  <c r="AS54" i="29" s="1"/>
  <c r="AS46" i="29"/>
  <c r="AQ80" i="29"/>
  <c r="BE61" i="11"/>
  <c r="AQ85" i="29"/>
  <c r="AP87" i="29"/>
  <c r="AP88" i="29" s="1"/>
  <c r="AR62" i="29"/>
  <c r="AR63" i="29" s="1"/>
  <c r="AR66" i="29" s="1"/>
  <c r="AH146" i="27"/>
  <c r="AH148" i="27" s="1"/>
  <c r="AV74" i="22"/>
  <c r="AV43" i="22"/>
  <c r="AV44" i="22" s="1"/>
  <c r="AV58" i="17"/>
  <c r="AW35" i="17" a="1"/>
  <c r="AW35" i="17" s="1"/>
  <c r="AT62" i="22"/>
  <c r="AS36" i="18"/>
  <c r="AT34" i="18" s="1"/>
  <c r="AT35" i="18" s="1"/>
  <c r="AI140" i="27"/>
  <c r="AI142" i="27" s="1"/>
  <c r="AQ59" i="16"/>
  <c r="AV58" i="18"/>
  <c r="AU60" i="22"/>
  <c r="AU61" i="22" s="1"/>
  <c r="BD40" i="27"/>
  <c r="BE38" i="27"/>
  <c r="AU55" i="11"/>
  <c r="AT66" i="11"/>
  <c r="C22" i="3"/>
  <c r="O21" i="3"/>
  <c r="AC75" i="16" l="1"/>
  <c r="AI46" i="16"/>
  <c r="AI45" i="16"/>
  <c r="AI44" i="16"/>
  <c r="AI50" i="16" s="1"/>
  <c r="AI43" i="16"/>
  <c r="AD74" i="16"/>
  <c r="AD75" i="16" s="1"/>
  <c r="AE72" i="16"/>
  <c r="AF63" i="16"/>
  <c r="AT80" i="11" s="1"/>
  <c r="AV77" i="27"/>
  <c r="AV79" i="27" s="1"/>
  <c r="AF67" i="16"/>
  <c r="AG61" i="16"/>
  <c r="AG62" i="16" s="1"/>
  <c r="AG66" i="16"/>
  <c r="AG73" i="16"/>
  <c r="AW74" i="27"/>
  <c r="AW76" i="27" s="1"/>
  <c r="AS57" i="11"/>
  <c r="AS68" i="11" s="1"/>
  <c r="AE68" i="16"/>
  <c r="AI49" i="16"/>
  <c r="AI52" i="16"/>
  <c r="AI51" i="16"/>
  <c r="AD69" i="16"/>
  <c r="AT80" i="27"/>
  <c r="AT82" i="27" s="1"/>
  <c r="AH53" i="16"/>
  <c r="AJ40" i="16"/>
  <c r="Y40" i="22"/>
  <c r="AK38" i="17"/>
  <c r="AL36" i="16"/>
  <c r="AL38" i="16" s="1"/>
  <c r="V56" i="22"/>
  <c r="V57" i="22" s="1"/>
  <c r="V67" i="22" s="1"/>
  <c r="V66" i="22"/>
  <c r="AY170" i="27" s="1"/>
  <c r="BC51" i="19"/>
  <c r="BB54" i="19"/>
  <c r="BB55" i="19" s="1"/>
  <c r="BB62" i="19" s="1"/>
  <c r="AV49" i="11"/>
  <c r="U76" i="22"/>
  <c r="U77" i="22" s="1"/>
  <c r="U68" i="22"/>
  <c r="U69" i="22"/>
  <c r="U81" i="22"/>
  <c r="AX173" i="27"/>
  <c r="AX175" i="27" s="1"/>
  <c r="K62" i="18"/>
  <c r="AL82" i="11" s="1"/>
  <c r="D94" i="11" s="1"/>
  <c r="K66" i="18"/>
  <c r="K71" i="18" s="1"/>
  <c r="R89" i="22"/>
  <c r="R90" i="22" s="1"/>
  <c r="S87" i="22"/>
  <c r="K72" i="18"/>
  <c r="K67" i="18"/>
  <c r="K68" i="18" s="1"/>
  <c r="W54" i="22"/>
  <c r="W55" i="22" s="1"/>
  <c r="W45" i="22"/>
  <c r="AZ59" i="19"/>
  <c r="AZ60" i="19" s="1"/>
  <c r="AZ61" i="19" s="1"/>
  <c r="BA56" i="19"/>
  <c r="X40" i="22"/>
  <c r="AJ38" i="17"/>
  <c r="AK36" i="16"/>
  <c r="AK38" i="16" s="1"/>
  <c r="AK39" i="16" s="1"/>
  <c r="L42" i="18"/>
  <c r="L47" i="18"/>
  <c r="AO71" i="19"/>
  <c r="BA63" i="19"/>
  <c r="BA65" i="19"/>
  <c r="D86" i="19"/>
  <c r="BC3" i="27"/>
  <c r="BC5" i="27" s="1"/>
  <c r="BB10" i="27"/>
  <c r="BB9" i="27"/>
  <c r="AV179" i="27"/>
  <c r="AV181" i="27" s="1"/>
  <c r="S84" i="22"/>
  <c r="T78" i="22"/>
  <c r="AU83" i="11" s="1"/>
  <c r="T82" i="22"/>
  <c r="T83" i="22" s="1"/>
  <c r="AU60" i="11"/>
  <c r="AU71" i="11" s="1"/>
  <c r="AW176" i="27"/>
  <c r="AW178" i="27" s="1"/>
  <c r="AY67" i="19"/>
  <c r="AM73" i="19" s="1"/>
  <c r="C88" i="19" s="1"/>
  <c r="AM72" i="19"/>
  <c r="C87" i="19" s="1"/>
  <c r="C104" i="19" s="1"/>
  <c r="AY92" i="19" s="1"/>
  <c r="Z39" i="18"/>
  <c r="BA8" i="27"/>
  <c r="BB6" i="27"/>
  <c r="AS58" i="16"/>
  <c r="AP46" i="31"/>
  <c r="AP49" i="31" s="1"/>
  <c r="AP52" i="31" s="1"/>
  <c r="AP72" i="31" s="1"/>
  <c r="AO60" i="31"/>
  <c r="AO61" i="31" s="1"/>
  <c r="AO65" i="31"/>
  <c r="BE51" i="11"/>
  <c r="AO72" i="31"/>
  <c r="AO53" i="31"/>
  <c r="AT58" i="31"/>
  <c r="AU57" i="31"/>
  <c r="AQ44" i="31"/>
  <c r="AQ40" i="31"/>
  <c r="AQ45" i="31"/>
  <c r="AQ41" i="31"/>
  <c r="AQ42" i="31"/>
  <c r="AQ43" i="31"/>
  <c r="AN66" i="31"/>
  <c r="AN67" i="31" s="1"/>
  <c r="AN68" i="31" s="1"/>
  <c r="AN62" i="31"/>
  <c r="BD85" i="11" s="1"/>
  <c r="BD62" i="11"/>
  <c r="BD73" i="11" s="1"/>
  <c r="AW57" i="18"/>
  <c r="AR37" i="31"/>
  <c r="AS36" i="31"/>
  <c r="AO71" i="31"/>
  <c r="AN73" i="31"/>
  <c r="AN74" i="31" s="1"/>
  <c r="AW44" i="27"/>
  <c r="AW46" i="27" s="1"/>
  <c r="AV47" i="27"/>
  <c r="AV49" i="27" s="1"/>
  <c r="AQ63" i="22"/>
  <c r="BE72" i="11"/>
  <c r="AQ81" i="29"/>
  <c r="AQ82" i="29" s="1"/>
  <c r="BF50" i="11"/>
  <c r="AR86" i="29"/>
  <c r="AR79" i="29"/>
  <c r="AR67" i="29"/>
  <c r="AQ87" i="29"/>
  <c r="AQ88" i="29" s="1"/>
  <c r="AR85" i="29"/>
  <c r="AS55" i="29"/>
  <c r="AS74" i="29" s="1"/>
  <c r="AS75" i="29" s="1"/>
  <c r="AS76" i="29" s="1"/>
  <c r="AU58" i="29"/>
  <c r="AU43" i="29"/>
  <c r="AU47" i="29" s="1"/>
  <c r="AV42" i="29"/>
  <c r="AU45" i="29"/>
  <c r="AU49" i="29" s="1"/>
  <c r="AU53" i="29" s="1"/>
  <c r="AU44" i="29"/>
  <c r="AU48" i="29" s="1"/>
  <c r="AU52" i="29" s="1"/>
  <c r="AT60" i="29"/>
  <c r="AT61" i="29"/>
  <c r="AT59" i="29"/>
  <c r="AR80" i="29"/>
  <c r="BF61" i="11"/>
  <c r="AS62" i="29"/>
  <c r="AS63" i="29" s="1"/>
  <c r="AS66" i="29" s="1"/>
  <c r="AX72" i="29"/>
  <c r="AT46" i="29"/>
  <c r="AT51" i="29"/>
  <c r="AT54" i="29" s="1"/>
  <c r="AT36" i="18"/>
  <c r="AU34" i="18" s="1"/>
  <c r="AU35" i="18" s="1"/>
  <c r="AI143" i="27"/>
  <c r="AI145" i="27" s="1"/>
  <c r="AU62" i="22"/>
  <c r="AR59" i="16"/>
  <c r="AW58" i="18"/>
  <c r="AW74" i="22"/>
  <c r="AW43" i="22"/>
  <c r="AW44" i="22" s="1"/>
  <c r="AG48" i="11"/>
  <c r="AW58" i="17"/>
  <c r="AX35" i="17" a="1"/>
  <c r="AX35" i="17" s="1"/>
  <c r="AV60" i="22"/>
  <c r="AV61" i="22" s="1"/>
  <c r="BF38" i="27"/>
  <c r="BE40" i="27"/>
  <c r="L4" i="11"/>
  <c r="E4" i="11" s="1"/>
  <c r="AZ41" i="27"/>
  <c r="AZ43" i="27" s="1"/>
  <c r="AV55" i="11"/>
  <c r="AU66" i="11"/>
  <c r="BA41" i="27"/>
  <c r="BA43" i="27" s="1"/>
  <c r="M44" i="1"/>
  <c r="N44" i="1" s="1"/>
  <c r="M45" i="1"/>
  <c r="N45" i="1" s="1"/>
  <c r="M42" i="1"/>
  <c r="N42" i="1" s="1"/>
  <c r="M43" i="1"/>
  <c r="N43" i="1" s="1"/>
  <c r="M40" i="1"/>
  <c r="N40" i="1" s="1"/>
  <c r="M41" i="1"/>
  <c r="N41" i="1" s="1"/>
  <c r="M38" i="1"/>
  <c r="M39" i="1"/>
  <c r="N39" i="1" s="1"/>
  <c r="C26" i="3"/>
  <c r="AJ45" i="16" l="1"/>
  <c r="AJ51" i="16" s="1"/>
  <c r="AJ44" i="16"/>
  <c r="AJ50" i="16" s="1"/>
  <c r="AJ43" i="16"/>
  <c r="AJ46" i="16"/>
  <c r="AJ52" i="16" s="1"/>
  <c r="AE74" i="16"/>
  <c r="AE75" i="16" s="1"/>
  <c r="AF72" i="16"/>
  <c r="AT57" i="11"/>
  <c r="AT68" i="11" s="1"/>
  <c r="AF68" i="16"/>
  <c r="AL39" i="16"/>
  <c r="AK40" i="16"/>
  <c r="AJ49" i="16"/>
  <c r="AI53" i="16"/>
  <c r="AE69" i="16"/>
  <c r="AU80" i="27"/>
  <c r="AU82" i="27" s="1"/>
  <c r="AU46" i="11"/>
  <c r="AH61" i="16"/>
  <c r="AH62" i="16" s="1"/>
  <c r="AH73" i="16"/>
  <c r="AX74" i="27"/>
  <c r="AX76" i="27" s="1"/>
  <c r="AH66" i="16"/>
  <c r="AV46" i="11" s="1"/>
  <c r="AG67" i="16"/>
  <c r="AU57" i="11" s="1"/>
  <c r="AW77" i="27"/>
  <c r="AW79" i="27" s="1"/>
  <c r="AG63" i="16"/>
  <c r="AU80" i="11" s="1"/>
  <c r="BB71" i="27"/>
  <c r="BB8" i="27"/>
  <c r="BC6" i="27"/>
  <c r="AK40" i="17"/>
  <c r="AK41" i="17"/>
  <c r="AK39" i="17"/>
  <c r="Z40" i="22"/>
  <c r="AL38" i="17"/>
  <c r="AM36" i="16"/>
  <c r="AM38" i="16" s="1"/>
  <c r="AW179" i="27"/>
  <c r="AW181" i="27" s="1"/>
  <c r="T84" i="22"/>
  <c r="BC10" i="27"/>
  <c r="BC9" i="27"/>
  <c r="E86" i="19"/>
  <c r="BD3" i="27"/>
  <c r="BD5" i="27" s="1"/>
  <c r="X42" i="22"/>
  <c r="X41" i="22"/>
  <c r="X48" i="22" s="1"/>
  <c r="X49" i="22" s="1"/>
  <c r="X50" i="22" s="1"/>
  <c r="X51" i="22" s="1"/>
  <c r="W56" i="22"/>
  <c r="W57" i="22" s="1"/>
  <c r="W67" i="22" s="1"/>
  <c r="W66" i="22"/>
  <c r="AZ170" i="27" s="1"/>
  <c r="Y41" i="22"/>
  <c r="Y48" i="22" s="1"/>
  <c r="Y49" i="22" s="1"/>
  <c r="Y50" i="22" s="1"/>
  <c r="Y42" i="22"/>
  <c r="L48" i="18"/>
  <c r="L49" i="18" s="1"/>
  <c r="L52" i="18" s="1"/>
  <c r="L43" i="18"/>
  <c r="AG137" i="27" s="1"/>
  <c r="M40" i="18"/>
  <c r="AZ67" i="19"/>
  <c r="AN73" i="19" s="1"/>
  <c r="D88" i="19" s="1"/>
  <c r="AN72" i="19"/>
  <c r="D87" i="19" s="1"/>
  <c r="D104" i="19" s="1"/>
  <c r="AZ92" i="19" s="1"/>
  <c r="AA39" i="18"/>
  <c r="AP71" i="19"/>
  <c r="BB63" i="19"/>
  <c r="BB65" i="19"/>
  <c r="BD51" i="19"/>
  <c r="BC54" i="19"/>
  <c r="BC55" i="19" s="1"/>
  <c r="BC62" i="19" s="1"/>
  <c r="BB56" i="19"/>
  <c r="BA59" i="19"/>
  <c r="BA60" i="19" s="1"/>
  <c r="BA61" i="19" s="1"/>
  <c r="K73" i="18"/>
  <c r="K74" i="18" s="1"/>
  <c r="AY173" i="27"/>
  <c r="AY175" i="27" s="1"/>
  <c r="V81" i="22"/>
  <c r="V68" i="22"/>
  <c r="V69" i="22"/>
  <c r="V76" i="22"/>
  <c r="V77" i="22" s="1"/>
  <c r="AW49" i="11"/>
  <c r="BA71" i="27"/>
  <c r="AJ39" i="17"/>
  <c r="AJ41" i="17"/>
  <c r="AJ40" i="17"/>
  <c r="S89" i="22"/>
  <c r="S90" i="22" s="1"/>
  <c r="T87" i="22"/>
  <c r="U82" i="22"/>
  <c r="U83" i="22" s="1"/>
  <c r="U78" i="22"/>
  <c r="AV83" i="11" s="1"/>
  <c r="AX176" i="27"/>
  <c r="AX178" i="27" s="1"/>
  <c r="AV60" i="11"/>
  <c r="AV71" i="11" s="1"/>
  <c r="AT58" i="16"/>
  <c r="AP53" i="31"/>
  <c r="AP65" i="31"/>
  <c r="AP60" i="31"/>
  <c r="AP61" i="31" s="1"/>
  <c r="BF62" i="11" s="1"/>
  <c r="BF51" i="11"/>
  <c r="AP71" i="31"/>
  <c r="AO73" i="31"/>
  <c r="AO74" i="31" s="1"/>
  <c r="AU58" i="31"/>
  <c r="AV57" i="31"/>
  <c r="AR44" i="31"/>
  <c r="AR40" i="31"/>
  <c r="AR41" i="31"/>
  <c r="AR42" i="31"/>
  <c r="AR45" i="31"/>
  <c r="AR43" i="31"/>
  <c r="AP66" i="31"/>
  <c r="AP67" i="31" s="1"/>
  <c r="AP68" i="31" s="1"/>
  <c r="AP62" i="31"/>
  <c r="BF85" i="11" s="1"/>
  <c r="AT36" i="31"/>
  <c r="AS37" i="31"/>
  <c r="AX57" i="18"/>
  <c r="AX58" i="18" s="1"/>
  <c r="AQ46" i="31"/>
  <c r="AQ49" i="31" s="1"/>
  <c r="AQ52" i="31" s="1"/>
  <c r="AO66" i="31"/>
  <c r="AO67" i="31" s="1"/>
  <c r="AO68" i="31" s="1"/>
  <c r="AO62" i="31"/>
  <c r="BE85" i="11" s="1"/>
  <c r="BE62" i="11"/>
  <c r="BE73" i="11" s="1"/>
  <c r="AW47" i="27"/>
  <c r="AW49" i="27" s="1"/>
  <c r="AX44" i="27"/>
  <c r="AX46" i="27" s="1"/>
  <c r="AR63" i="22"/>
  <c r="BF72" i="11"/>
  <c r="AS86" i="29"/>
  <c r="BG50" i="11"/>
  <c r="AS79" i="29"/>
  <c r="AS67" i="29"/>
  <c r="AV58" i="29"/>
  <c r="AV43" i="29"/>
  <c r="AV47" i="29" s="1"/>
  <c r="AV45" i="29"/>
  <c r="AV49" i="29" s="1"/>
  <c r="AV53" i="29" s="1"/>
  <c r="AW42" i="29"/>
  <c r="AV44" i="29"/>
  <c r="AV48" i="29" s="1"/>
  <c r="AV52" i="29" s="1"/>
  <c r="AY72" i="29"/>
  <c r="AU51" i="29"/>
  <c r="AU54" i="29" s="1"/>
  <c r="AU46" i="29"/>
  <c r="AR87" i="29"/>
  <c r="AR88" i="29" s="1"/>
  <c r="AS85" i="29"/>
  <c r="AU59" i="29"/>
  <c r="AU60" i="29"/>
  <c r="AU61" i="29"/>
  <c r="AT55" i="29"/>
  <c r="AT74" i="29" s="1"/>
  <c r="AT75" i="29" s="1"/>
  <c r="AT76" i="29" s="1"/>
  <c r="AT62" i="29"/>
  <c r="AT63" i="29" s="1"/>
  <c r="AT66" i="29" s="1"/>
  <c r="AS80" i="29"/>
  <c r="BG61" i="11"/>
  <c r="AR81" i="29"/>
  <c r="AR82" i="29" s="1"/>
  <c r="AS59" i="16"/>
  <c r="AV62" i="22"/>
  <c r="AX74" i="22"/>
  <c r="AX43" i="22"/>
  <c r="AX44" i="22" s="1"/>
  <c r="AX58" i="17"/>
  <c r="AY35" i="17" a="1"/>
  <c r="AY35" i="17" s="1"/>
  <c r="AU36" i="18"/>
  <c r="AV34" i="18" s="1"/>
  <c r="AV35" i="18" s="1"/>
  <c r="AI146" i="27"/>
  <c r="AI148" i="27" s="1"/>
  <c r="AW60" i="22"/>
  <c r="AW61" i="22" s="1"/>
  <c r="BG38" i="27"/>
  <c r="BF40" i="27"/>
  <c r="BB41" i="27"/>
  <c r="BB43" i="27" s="1"/>
  <c r="AW55" i="11"/>
  <c r="AV66" i="11"/>
  <c r="M77" i="1"/>
  <c r="B32" i="1" s="1"/>
  <c r="N38" i="1"/>
  <c r="N77" i="1" s="1"/>
  <c r="C28" i="3"/>
  <c r="AK44" i="16" l="1"/>
  <c r="AK45" i="16"/>
  <c r="AK43" i="16"/>
  <c r="AK49" i="16" s="1"/>
  <c r="AK46" i="16"/>
  <c r="AG72" i="16"/>
  <c r="AF74" i="16"/>
  <c r="AF75" i="16" s="1"/>
  <c r="AJ53" i="16"/>
  <c r="AZ74" i="27" s="1"/>
  <c r="AZ76" i="27" s="1"/>
  <c r="AV80" i="27"/>
  <c r="AV82" i="27" s="1"/>
  <c r="AF69" i="16"/>
  <c r="AI73" i="16"/>
  <c r="AI61" i="16"/>
  <c r="AI62" i="16" s="1"/>
  <c r="AY74" i="27"/>
  <c r="AY76" i="27" s="1"/>
  <c r="AI66" i="16"/>
  <c r="AW46" i="11" s="1"/>
  <c r="AU68" i="11"/>
  <c r="AK51" i="16"/>
  <c r="AK52" i="16"/>
  <c r="AK50" i="16"/>
  <c r="AH67" i="16"/>
  <c r="AX77" i="27"/>
  <c r="AX79" i="27" s="1"/>
  <c r="AH63" i="16"/>
  <c r="AV80" i="11" s="1"/>
  <c r="AG68" i="16"/>
  <c r="AM39" i="16"/>
  <c r="AL40" i="16"/>
  <c r="U87" i="22"/>
  <c r="T89" i="22"/>
  <c r="T90" i="22" s="1"/>
  <c r="BB59" i="19"/>
  <c r="BB60" i="19" s="1"/>
  <c r="BB61" i="19" s="1"/>
  <c r="BC56" i="19"/>
  <c r="BE51" i="19"/>
  <c r="BD54" i="19"/>
  <c r="BD55" i="19" s="1"/>
  <c r="BD62" i="19" s="1"/>
  <c r="AZ173" i="27"/>
  <c r="AZ175" i="27" s="1"/>
  <c r="W68" i="22"/>
  <c r="W76" i="22"/>
  <c r="W77" i="22" s="1"/>
  <c r="W81" i="22"/>
  <c r="AX49" i="11"/>
  <c r="L29" i="11" s="1"/>
  <c r="W69" i="22"/>
  <c r="L60" i="18"/>
  <c r="L61" i="18" s="1"/>
  <c r="L65" i="18"/>
  <c r="L53" i="18"/>
  <c r="Y54" i="22"/>
  <c r="Y55" i="22" s="1"/>
  <c r="Y45" i="22"/>
  <c r="Y51" i="22"/>
  <c r="X54" i="22"/>
  <c r="X55" i="22" s="1"/>
  <c r="X45" i="22"/>
  <c r="AL40" i="17"/>
  <c r="AL39" i="17"/>
  <c r="AL41" i="17"/>
  <c r="AA40" i="22"/>
  <c r="AM38" i="17"/>
  <c r="AN36" i="16"/>
  <c r="AN38" i="16" s="1"/>
  <c r="BC71" i="27"/>
  <c r="AX179" i="27"/>
  <c r="AX181" i="27" s="1"/>
  <c r="U84" i="22"/>
  <c r="V82" i="22"/>
  <c r="V83" i="22" s="1"/>
  <c r="AY176" i="27"/>
  <c r="AY178" i="27" s="1"/>
  <c r="V78" i="22"/>
  <c r="AW83" i="11" s="1"/>
  <c r="AW60" i="11"/>
  <c r="AW71" i="11" s="1"/>
  <c r="BA67" i="19"/>
  <c r="AO73" i="19" s="1"/>
  <c r="E88" i="19" s="1"/>
  <c r="AO72" i="19"/>
  <c r="E87" i="19" s="1"/>
  <c r="E104" i="19" s="1"/>
  <c r="BA92" i="19" s="1"/>
  <c r="AB39" i="18"/>
  <c r="AQ71" i="19"/>
  <c r="BC63" i="19"/>
  <c r="BC65" i="19"/>
  <c r="F86" i="19"/>
  <c r="BE3" i="27"/>
  <c r="BE5" i="27" s="1"/>
  <c r="M41" i="18"/>
  <c r="M46" i="18"/>
  <c r="BD9" i="27"/>
  <c r="BD10" i="27"/>
  <c r="Z41" i="22"/>
  <c r="Z48" i="22" s="1"/>
  <c r="Z49" i="22" s="1"/>
  <c r="Z50" i="22" s="1"/>
  <c r="Z51" i="22" s="1"/>
  <c r="Z42" i="22"/>
  <c r="BC8" i="27"/>
  <c r="BD6" i="27"/>
  <c r="AU58" i="16"/>
  <c r="BF73" i="11"/>
  <c r="AY57" i="18"/>
  <c r="AV58" i="31"/>
  <c r="AW57" i="31"/>
  <c r="AP73" i="31"/>
  <c r="AP74" i="31" s="1"/>
  <c r="AQ71" i="31"/>
  <c r="AS45" i="31"/>
  <c r="AS44" i="31"/>
  <c r="AS43" i="31"/>
  <c r="AS40" i="31"/>
  <c r="AS41" i="31"/>
  <c r="AS42" i="31"/>
  <c r="AQ60" i="31"/>
  <c r="AQ61" i="31" s="1"/>
  <c r="BG51" i="11"/>
  <c r="AQ53" i="31"/>
  <c r="AQ65" i="31"/>
  <c r="AQ72" i="31"/>
  <c r="AT37" i="31"/>
  <c r="AU36" i="31"/>
  <c r="AR46" i="31"/>
  <c r="AR49" i="31" s="1"/>
  <c r="AR52" i="31" s="1"/>
  <c r="AX47" i="27"/>
  <c r="AX49" i="27" s="1"/>
  <c r="AY44" i="27"/>
  <c r="AY46" i="27" s="1"/>
  <c r="AS63" i="22"/>
  <c r="AV51" i="29"/>
  <c r="AV54" i="29" s="1"/>
  <c r="AV46" i="29"/>
  <c r="AV59" i="29"/>
  <c r="AV61" i="29"/>
  <c r="AV60" i="29"/>
  <c r="AT80" i="29"/>
  <c r="BH61" i="11"/>
  <c r="AU62" i="29"/>
  <c r="AU63" i="29" s="1"/>
  <c r="AU66" i="29" s="1"/>
  <c r="AU55" i="29"/>
  <c r="AU74" i="29" s="1"/>
  <c r="AU75" i="29" s="1"/>
  <c r="AU76" i="29" s="1"/>
  <c r="AW58" i="29"/>
  <c r="AW43" i="29"/>
  <c r="AW47" i="29" s="1"/>
  <c r="AW45" i="29"/>
  <c r="AW49" i="29" s="1"/>
  <c r="AW53" i="29" s="1"/>
  <c r="AX42" i="29"/>
  <c r="AW44" i="29"/>
  <c r="AW48" i="29" s="1"/>
  <c r="AW52" i="29" s="1"/>
  <c r="BG72" i="11"/>
  <c r="AT86" i="29"/>
  <c r="BH50" i="11"/>
  <c r="AT79" i="29"/>
  <c r="AT81" i="29" s="1"/>
  <c r="AT82" i="29" s="1"/>
  <c r="AT67" i="29"/>
  <c r="AS87" i="29"/>
  <c r="AS88" i="29" s="1"/>
  <c r="AT85" i="29"/>
  <c r="AZ72" i="29"/>
  <c r="AS81" i="29"/>
  <c r="AS82" i="29" s="1"/>
  <c r="AV36" i="18"/>
  <c r="AW34" i="18" s="1"/>
  <c r="AW35" i="18" s="1"/>
  <c r="AX60" i="22"/>
  <c r="AX61" i="22" s="1"/>
  <c r="AT59" i="16"/>
  <c r="AY58" i="17"/>
  <c r="AZ35" i="17" a="1"/>
  <c r="AZ35" i="17" s="1"/>
  <c r="AJ140" i="27"/>
  <c r="AJ142" i="27" s="1"/>
  <c r="AY58" i="18"/>
  <c r="AW62" i="22"/>
  <c r="AY74" i="22"/>
  <c r="AY43" i="22"/>
  <c r="AY44" i="22" s="1"/>
  <c r="BG40" i="27"/>
  <c r="BH38" i="27"/>
  <c r="C29" i="3"/>
  <c r="AX55" i="11"/>
  <c r="AW66" i="11"/>
  <c r="BC41" i="27"/>
  <c r="BC43" i="27" s="1"/>
  <c r="C24" i="3"/>
  <c r="AK53" i="16" l="1"/>
  <c r="AL43" i="16"/>
  <c r="AL46" i="16"/>
  <c r="AL52" i="16" s="1"/>
  <c r="AL44" i="16"/>
  <c r="AL50" i="16" s="1"/>
  <c r="AL45" i="16"/>
  <c r="AH72" i="16"/>
  <c r="AG74" i="16"/>
  <c r="AG75" i="16" s="1"/>
  <c r="AJ66" i="16"/>
  <c r="AX46" i="11" s="1"/>
  <c r="L14" i="11" s="1"/>
  <c r="E6" i="11" s="1"/>
  <c r="AJ73" i="16"/>
  <c r="AJ61" i="16"/>
  <c r="AJ62" i="16" s="1"/>
  <c r="AJ67" i="16" s="1"/>
  <c r="AX57" i="11" s="1"/>
  <c r="AG69" i="16"/>
  <c r="AW80" i="27"/>
  <c r="AW82" i="27" s="1"/>
  <c r="AY77" i="27"/>
  <c r="AY79" i="27" s="1"/>
  <c r="AI63" i="16"/>
  <c r="AW80" i="11" s="1"/>
  <c r="AI67" i="16"/>
  <c r="AW57" i="11" s="1"/>
  <c r="AW68" i="11" s="1"/>
  <c r="AI68" i="16"/>
  <c r="AI69" i="16" s="1"/>
  <c r="AL51" i="16"/>
  <c r="AL49" i="16"/>
  <c r="AN39" i="16"/>
  <c r="AM40" i="16"/>
  <c r="AV57" i="11"/>
  <c r="AV68" i="11" s="1"/>
  <c r="AH68" i="16"/>
  <c r="BD8" i="27"/>
  <c r="BE6" i="27"/>
  <c r="Y56" i="22"/>
  <c r="Y66" i="22"/>
  <c r="BB170" i="27" s="1"/>
  <c r="BC59" i="19"/>
  <c r="BC60" i="19" s="1"/>
  <c r="BC61" i="19" s="1"/>
  <c r="BD56" i="19"/>
  <c r="AA41" i="22"/>
  <c r="AA48" i="22" s="1"/>
  <c r="AA49" i="22" s="1"/>
  <c r="AA50" i="22" s="1"/>
  <c r="AA51" i="22" s="1"/>
  <c r="AA42" i="22"/>
  <c r="W78" i="22"/>
  <c r="AX83" i="11" s="1"/>
  <c r="E95" i="11" s="1"/>
  <c r="AZ176" i="27"/>
  <c r="AZ178" i="27" s="1"/>
  <c r="AX60" i="11"/>
  <c r="W82" i="22"/>
  <c r="W83" i="22" s="1"/>
  <c r="BB67" i="19"/>
  <c r="AP73" i="19" s="1"/>
  <c r="F88" i="19" s="1"/>
  <c r="AP72" i="19"/>
  <c r="F87" i="19" s="1"/>
  <c r="F104" i="19" s="1"/>
  <c r="BB92" i="19" s="1"/>
  <c r="AC39" i="18"/>
  <c r="BE10" i="27"/>
  <c r="BE9" i="27"/>
  <c r="G86" i="19"/>
  <c r="BF3" i="27"/>
  <c r="BF5" i="27" s="1"/>
  <c r="AM39" i="17"/>
  <c r="AM40" i="17"/>
  <c r="AM41" i="17"/>
  <c r="X56" i="22"/>
  <c r="X57" i="22" s="1"/>
  <c r="X67" i="22" s="1"/>
  <c r="X66" i="22"/>
  <c r="BA170" i="27" s="1"/>
  <c r="U89" i="22"/>
  <c r="U90" i="22" s="1"/>
  <c r="V87" i="22"/>
  <c r="Z54" i="22"/>
  <c r="Z55" i="22" s="1"/>
  <c r="Z45" i="22"/>
  <c r="AB40" i="22"/>
  <c r="AN38" i="17"/>
  <c r="AO36" i="16"/>
  <c r="AO38" i="16" s="1"/>
  <c r="AK66" i="16"/>
  <c r="AK73" i="16"/>
  <c r="BA74" i="27"/>
  <c r="BA76" i="27" s="1"/>
  <c r="AK61" i="16"/>
  <c r="AK62" i="16" s="1"/>
  <c r="L72" i="18"/>
  <c r="AR71" i="19"/>
  <c r="BD63" i="19"/>
  <c r="BD65" i="19"/>
  <c r="M42" i="18"/>
  <c r="M47" i="18"/>
  <c r="V84" i="22"/>
  <c r="AY179" i="27"/>
  <c r="AY181" i="27" s="1"/>
  <c r="BD71" i="27"/>
  <c r="L62" i="18"/>
  <c r="AM82" i="11" s="1"/>
  <c r="L66" i="18"/>
  <c r="L71" i="18" s="1"/>
  <c r="E9" i="11"/>
  <c r="BF51" i="19"/>
  <c r="BE54" i="19"/>
  <c r="BE55" i="19" s="1"/>
  <c r="BE62" i="19" s="1"/>
  <c r="AT43" i="31"/>
  <c r="AT40" i="31"/>
  <c r="AT44" i="31"/>
  <c r="AT41" i="31"/>
  <c r="AT45" i="31"/>
  <c r="AT42" i="31"/>
  <c r="AS46" i="31"/>
  <c r="AS49" i="31" s="1"/>
  <c r="AS52" i="31" s="1"/>
  <c r="AQ73" i="31"/>
  <c r="AQ74" i="31" s="1"/>
  <c r="AR71" i="31"/>
  <c r="AV36" i="31"/>
  <c r="AU37" i="31"/>
  <c r="AQ66" i="31"/>
  <c r="AQ67" i="31" s="1"/>
  <c r="AQ68" i="31" s="1"/>
  <c r="AQ62" i="31"/>
  <c r="BG85" i="11" s="1"/>
  <c r="BG62" i="11"/>
  <c r="BG73" i="11" s="1"/>
  <c r="AZ57" i="18"/>
  <c r="AR53" i="31"/>
  <c r="AR60" i="31"/>
  <c r="AR61" i="31" s="1"/>
  <c r="AR65" i="31"/>
  <c r="AR72" i="31"/>
  <c r="BH51" i="11"/>
  <c r="AW58" i="31"/>
  <c r="AX57" i="31"/>
  <c r="AY47" i="27"/>
  <c r="AY49" i="27" s="1"/>
  <c r="AT63" i="22"/>
  <c r="AU86" i="29"/>
  <c r="BI50" i="11"/>
  <c r="AU67" i="29"/>
  <c r="AU79" i="29"/>
  <c r="AW51" i="29"/>
  <c r="AW54" i="29" s="1"/>
  <c r="AW46" i="29"/>
  <c r="AW61" i="29"/>
  <c r="AW59" i="29"/>
  <c r="AW60" i="29"/>
  <c r="BH72" i="11"/>
  <c r="AV62" i="29"/>
  <c r="AV63" i="29" s="1"/>
  <c r="AV66" i="29" s="1"/>
  <c r="AT87" i="29"/>
  <c r="AT88" i="29" s="1"/>
  <c r="AU85" i="29"/>
  <c r="AX58" i="29"/>
  <c r="AX44" i="29"/>
  <c r="AX48" i="29" s="1"/>
  <c r="AX52" i="29" s="1"/>
  <c r="AX43" i="29"/>
  <c r="AX47" i="29" s="1"/>
  <c r="AY42" i="29"/>
  <c r="AX45" i="29"/>
  <c r="AX49" i="29" s="1"/>
  <c r="AX53" i="29" s="1"/>
  <c r="AU80" i="29"/>
  <c r="BI61" i="11"/>
  <c r="AV55" i="29"/>
  <c r="AV74" i="29" s="1"/>
  <c r="AV75" i="29" s="1"/>
  <c r="AV76" i="29" s="1"/>
  <c r="BA72" i="29"/>
  <c r="AY60" i="22"/>
  <c r="AY61" i="22" s="1"/>
  <c r="AZ74" i="22"/>
  <c r="AZ43" i="22"/>
  <c r="AZ44" i="22" s="1"/>
  <c r="AH48" i="11"/>
  <c r="AZ58" i="17"/>
  <c r="BA35" i="17" a="1"/>
  <c r="BA35" i="17" s="1"/>
  <c r="AU59" i="16"/>
  <c r="AW36" i="18"/>
  <c r="AX34" i="18" s="1"/>
  <c r="AX35" i="18" s="1"/>
  <c r="AJ143" i="27"/>
  <c r="AJ145" i="27" s="1"/>
  <c r="AX62" i="22"/>
  <c r="BH40" i="27"/>
  <c r="BI38" i="27"/>
  <c r="L5" i="11"/>
  <c r="E15" i="11" s="1"/>
  <c r="AZ44" i="27"/>
  <c r="AZ46" i="27" s="1"/>
  <c r="C26" i="6"/>
  <c r="C25" i="6"/>
  <c r="BD41" i="27"/>
  <c r="BD43" i="27" s="1"/>
  <c r="AY55" i="11"/>
  <c r="AX66" i="11"/>
  <c r="C4" i="8"/>
  <c r="C7" i="8" s="1"/>
  <c r="C21" i="8" s="1"/>
  <c r="C23" i="8" s="1"/>
  <c r="C6" i="6" s="1"/>
  <c r="C10" i="6" s="1"/>
  <c r="C13" i="6" s="1"/>
  <c r="AY80" i="27" l="1"/>
  <c r="AY82" i="27" s="1"/>
  <c r="AM46" i="16"/>
  <c r="AM52" i="16" s="1"/>
  <c r="AM43" i="16"/>
  <c r="AM49" i="16" s="1"/>
  <c r="AM45" i="16"/>
  <c r="AM51" i="16" s="1"/>
  <c r="AM44" i="16"/>
  <c r="AH74" i="16"/>
  <c r="AH75" i="16" s="1"/>
  <c r="AI72" i="16"/>
  <c r="AJ63" i="16"/>
  <c r="AX80" i="11" s="1"/>
  <c r="E92" i="11" s="1"/>
  <c r="AX68" i="11"/>
  <c r="AZ77" i="27"/>
  <c r="AZ79" i="27" s="1"/>
  <c r="AJ68" i="16"/>
  <c r="AM50" i="16"/>
  <c r="AO39" i="16"/>
  <c r="AN40" i="16"/>
  <c r="L15" i="11"/>
  <c r="AH69" i="16"/>
  <c r="AX80" i="27"/>
  <c r="AX82" i="27" s="1"/>
  <c r="AL53" i="16"/>
  <c r="M48" i="18"/>
  <c r="M49" i="18" s="1"/>
  <c r="M52" i="18" s="1"/>
  <c r="N40" i="18"/>
  <c r="M43" i="18"/>
  <c r="AH137" i="27" s="1"/>
  <c r="AY46" i="11"/>
  <c r="W84" i="22"/>
  <c r="AZ179" i="27"/>
  <c r="AZ181" i="27" s="1"/>
  <c r="BD59" i="19"/>
  <c r="BD60" i="19" s="1"/>
  <c r="BD61" i="19" s="1"/>
  <c r="BE56" i="19"/>
  <c r="AS71" i="19"/>
  <c r="BE63" i="19"/>
  <c r="BE65" i="19"/>
  <c r="L73" i="18"/>
  <c r="L74" i="18" s="1"/>
  <c r="AK63" i="16"/>
  <c r="AY80" i="11" s="1"/>
  <c r="BA77" i="27"/>
  <c r="BA79" i="27" s="1"/>
  <c r="AK67" i="16"/>
  <c r="AY57" i="11" s="1"/>
  <c r="BE71" i="27"/>
  <c r="Z56" i="22"/>
  <c r="Z57" i="22" s="1"/>
  <c r="Z67" i="22" s="1"/>
  <c r="Z66" i="22"/>
  <c r="BC170" i="27" s="1"/>
  <c r="BA173" i="27"/>
  <c r="BA175" i="27" s="1"/>
  <c r="AY49" i="11"/>
  <c r="X81" i="22"/>
  <c r="X68" i="22"/>
  <c r="X69" i="22"/>
  <c r="X76" i="22"/>
  <c r="X77" i="22" s="1"/>
  <c r="BF10" i="27"/>
  <c r="BF9" i="27"/>
  <c r="AX71" i="11"/>
  <c r="L30" i="11"/>
  <c r="BC67" i="19"/>
  <c r="AQ73" i="19" s="1"/>
  <c r="G88" i="19" s="1"/>
  <c r="AQ72" i="19"/>
  <c r="G87" i="19" s="1"/>
  <c r="G104" i="19" s="1"/>
  <c r="BC92" i="19" s="1"/>
  <c r="AD39" i="18"/>
  <c r="BG51" i="19"/>
  <c r="BF54" i="19"/>
  <c r="BF55" i="19" s="1"/>
  <c r="BF62" i="19" s="1"/>
  <c r="H86" i="19"/>
  <c r="BG3" i="27"/>
  <c r="BG5" i="27" s="1"/>
  <c r="AN39" i="17"/>
  <c r="AN41" i="17"/>
  <c r="AN40" i="17"/>
  <c r="V89" i="22"/>
  <c r="V90" i="22" s="1"/>
  <c r="W87" i="22"/>
  <c r="AC40" i="22"/>
  <c r="AO38" i="17"/>
  <c r="AP36" i="16"/>
  <c r="AP38" i="16" s="1"/>
  <c r="AA54" i="22"/>
  <c r="AA55" i="22" s="1"/>
  <c r="AA45" i="22"/>
  <c r="BE8" i="27"/>
  <c r="BF6" i="27"/>
  <c r="L67" i="18"/>
  <c r="L68" i="18" s="1"/>
  <c r="AB41" i="22"/>
  <c r="AB48" i="22" s="1"/>
  <c r="AB49" i="22" s="1"/>
  <c r="AB50" i="22" s="1"/>
  <c r="AB51" i="22" s="1"/>
  <c r="AB42" i="22"/>
  <c r="Y57" i="22"/>
  <c r="Y67" i="22" s="1"/>
  <c r="BA57" i="18"/>
  <c r="AU44" i="31"/>
  <c r="AU43" i="31"/>
  <c r="AU41" i="31"/>
  <c r="AU45" i="31"/>
  <c r="AU42" i="31"/>
  <c r="AU40" i="31"/>
  <c r="AS60" i="31"/>
  <c r="AS61" i="31" s="1"/>
  <c r="AS72" i="31"/>
  <c r="BI51" i="11"/>
  <c r="AS65" i="31"/>
  <c r="AS53" i="31"/>
  <c r="AR62" i="31"/>
  <c r="BH85" i="11" s="1"/>
  <c r="AR66" i="31"/>
  <c r="AR67" i="31" s="1"/>
  <c r="AR68" i="31" s="1"/>
  <c r="BH62" i="11"/>
  <c r="BH73" i="11" s="1"/>
  <c r="AV37" i="31"/>
  <c r="AW36" i="31"/>
  <c r="AT46" i="31"/>
  <c r="AT49" i="31" s="1"/>
  <c r="AT52" i="31" s="1"/>
  <c r="AS71" i="31"/>
  <c r="AR73" i="31"/>
  <c r="AR74" i="31" s="1"/>
  <c r="AZ58" i="18"/>
  <c r="AX58" i="31"/>
  <c r="AY57" i="31"/>
  <c r="AZ47" i="27"/>
  <c r="AZ49" i="27" s="1"/>
  <c r="BA44" i="27"/>
  <c r="BA46" i="27" s="1"/>
  <c r="AU63" i="22"/>
  <c r="BI72" i="11"/>
  <c r="BJ50" i="11"/>
  <c r="M34" i="11" s="1"/>
  <c r="AV86" i="29"/>
  <c r="AV67" i="29"/>
  <c r="AV79" i="29"/>
  <c r="AV80" i="29"/>
  <c r="BJ61" i="11"/>
  <c r="AX60" i="29"/>
  <c r="AX61" i="29"/>
  <c r="AX59" i="29"/>
  <c r="AY58" i="29"/>
  <c r="AY44" i="29"/>
  <c r="AY48" i="29" s="1"/>
  <c r="AY52" i="29" s="1"/>
  <c r="AY43" i="29"/>
  <c r="AY47" i="29" s="1"/>
  <c r="AZ42" i="29"/>
  <c r="AY45" i="29"/>
  <c r="AY49" i="29" s="1"/>
  <c r="AY53" i="29" s="1"/>
  <c r="AU87" i="29"/>
  <c r="AU88" i="29" s="1"/>
  <c r="AV85" i="29"/>
  <c r="AW55" i="29"/>
  <c r="AW74" i="29" s="1"/>
  <c r="AW75" i="29" s="1"/>
  <c r="BB72" i="29"/>
  <c r="AX51" i="29"/>
  <c r="AX54" i="29" s="1"/>
  <c r="AX46" i="29"/>
  <c r="AW62" i="29"/>
  <c r="AW63" i="29" s="1"/>
  <c r="AW66" i="29" s="1"/>
  <c r="AU81" i="29"/>
  <c r="AU82" i="29" s="1"/>
  <c r="BA58" i="17"/>
  <c r="BB35" i="17" a="1"/>
  <c r="BB35" i="17" s="1"/>
  <c r="AX36" i="18"/>
  <c r="AY34" i="18" s="1"/>
  <c r="AY35" i="18" s="1"/>
  <c r="BA74" i="22"/>
  <c r="BA43" i="22"/>
  <c r="BA44" i="22" s="1"/>
  <c r="BA58" i="18"/>
  <c r="AZ60" i="22"/>
  <c r="AZ61" i="22" s="1"/>
  <c r="AY62" i="22"/>
  <c r="L6" i="11"/>
  <c r="E26" i="11" s="1"/>
  <c r="BJ38" i="27"/>
  <c r="BI40" i="27"/>
  <c r="C27" i="6"/>
  <c r="C28" i="6" s="1"/>
  <c r="C30" i="6" s="1"/>
  <c r="AZ55" i="11"/>
  <c r="AY66" i="11"/>
  <c r="BE41" i="27"/>
  <c r="BE43" i="27" s="1"/>
  <c r="D22" i="8"/>
  <c r="D23" i="8" s="1"/>
  <c r="E22" i="8" s="1"/>
  <c r="E23" i="8" s="1"/>
  <c r="C25" i="8"/>
  <c r="AN45" i="16" l="1"/>
  <c r="AN51" i="16" s="1"/>
  <c r="AN44" i="16"/>
  <c r="AN50" i="16" s="1"/>
  <c r="AN43" i="16"/>
  <c r="AN46" i="16"/>
  <c r="AN52" i="16" s="1"/>
  <c r="AI74" i="16"/>
  <c r="AI75" i="16" s="1"/>
  <c r="AJ72" i="16"/>
  <c r="AZ80" i="27"/>
  <c r="AZ82" i="27" s="1"/>
  <c r="AJ69" i="16"/>
  <c r="E17" i="11"/>
  <c r="L16" i="11"/>
  <c r="E28" i="11" s="1"/>
  <c r="AL66" i="16"/>
  <c r="AL73" i="16"/>
  <c r="BB74" i="27"/>
  <c r="BB76" i="27" s="1"/>
  <c r="AL61" i="16"/>
  <c r="AL62" i="16" s="1"/>
  <c r="AN49" i="16"/>
  <c r="AP39" i="16"/>
  <c r="AO40" i="16"/>
  <c r="AM53" i="16"/>
  <c r="AY68" i="11"/>
  <c r="BF8" i="27"/>
  <c r="BG6" i="27"/>
  <c r="BF71" i="27"/>
  <c r="BG9" i="27"/>
  <c r="BG10" i="27"/>
  <c r="E20" i="11"/>
  <c r="L31" i="11"/>
  <c r="E31" i="11" s="1"/>
  <c r="BA176" i="27"/>
  <c r="BA178" i="27" s="1"/>
  <c r="AY60" i="11"/>
  <c r="X82" i="22"/>
  <c r="X83" i="22" s="1"/>
  <c r="X78" i="22"/>
  <c r="AY83" i="11" s="1"/>
  <c r="N41" i="18"/>
  <c r="N46" i="18"/>
  <c r="AO39" i="17"/>
  <c r="AO40" i="17"/>
  <c r="AO41" i="17"/>
  <c r="BE59" i="19"/>
  <c r="BE60" i="19" s="1"/>
  <c r="BE61" i="19" s="1"/>
  <c r="BF56" i="19"/>
  <c r="AK68" i="16"/>
  <c r="M53" i="18"/>
  <c r="M60" i="18"/>
  <c r="M61" i="18" s="1"/>
  <c r="M65" i="18"/>
  <c r="AC41" i="22"/>
  <c r="AC48" i="22" s="1"/>
  <c r="AC49" i="22" s="1"/>
  <c r="AC50" i="22" s="1"/>
  <c r="AC51" i="22" s="1"/>
  <c r="AC42" i="22"/>
  <c r="AD40" i="22"/>
  <c r="AP38" i="17"/>
  <c r="AQ36" i="16"/>
  <c r="AQ38" i="16" s="1"/>
  <c r="I86" i="19"/>
  <c r="BH3" i="27"/>
  <c r="BH5" i="27" s="1"/>
  <c r="BD67" i="19"/>
  <c r="AR73" i="19" s="1"/>
  <c r="H88" i="19" s="1"/>
  <c r="AR72" i="19"/>
  <c r="H87" i="19" s="1"/>
  <c r="H104" i="19" s="1"/>
  <c r="BD92" i="19" s="1"/>
  <c r="AE39" i="18"/>
  <c r="BB173" i="27"/>
  <c r="BB175" i="27" s="1"/>
  <c r="Y81" i="22"/>
  <c r="Y76" i="22"/>
  <c r="Y77" i="22" s="1"/>
  <c r="Y68" i="22"/>
  <c r="AZ49" i="11"/>
  <c r="Y69" i="22"/>
  <c r="AT71" i="19"/>
  <c r="BF63" i="19"/>
  <c r="BF65" i="19"/>
  <c r="AB54" i="22"/>
  <c r="AB55" i="22" s="1"/>
  <c r="AB45" i="22"/>
  <c r="AA56" i="22"/>
  <c r="AA57" i="22" s="1"/>
  <c r="AA67" i="22" s="1"/>
  <c r="AA66" i="22"/>
  <c r="BD170" i="27" s="1"/>
  <c r="X87" i="22"/>
  <c r="W89" i="22"/>
  <c r="W90" i="22" s="1"/>
  <c r="BH51" i="19"/>
  <c r="BG54" i="19"/>
  <c r="BG55" i="19" s="1"/>
  <c r="BG62" i="19" s="1"/>
  <c r="Z68" i="22"/>
  <c r="Z76" i="22"/>
  <c r="Z77" i="22" s="1"/>
  <c r="Z81" i="22"/>
  <c r="BC173" i="27"/>
  <c r="BC175" i="27" s="1"/>
  <c r="Z69" i="22"/>
  <c r="BA49" i="11"/>
  <c r="AY58" i="31"/>
  <c r="AZ57" i="31"/>
  <c r="AV44" i="31"/>
  <c r="AV42" i="31"/>
  <c r="AV40" i="31"/>
  <c r="AV43" i="31"/>
  <c r="AV41" i="31"/>
  <c r="AV45" i="31"/>
  <c r="AS66" i="31"/>
  <c r="AS67" i="31" s="1"/>
  <c r="AS68" i="31" s="1"/>
  <c r="AS62" i="31"/>
  <c r="BI85" i="11" s="1"/>
  <c r="BI62" i="11"/>
  <c r="BI73" i="11" s="1"/>
  <c r="BB57" i="18"/>
  <c r="BB58" i="18" s="1"/>
  <c r="AW37" i="31"/>
  <c r="AX36" i="31"/>
  <c r="AS73" i="31"/>
  <c r="AS74" i="31" s="1"/>
  <c r="AT71" i="31"/>
  <c r="AU46" i="31"/>
  <c r="AU49" i="31" s="1"/>
  <c r="AU52" i="31" s="1"/>
  <c r="AT65" i="31"/>
  <c r="AT60" i="31"/>
  <c r="AT61" i="31" s="1"/>
  <c r="AT53" i="31"/>
  <c r="BJ51" i="11"/>
  <c r="F11" i="11" s="1"/>
  <c r="M39" i="11" s="1"/>
  <c r="AT72" i="31"/>
  <c r="BB44" i="27"/>
  <c r="BB46" i="27" s="1"/>
  <c r="BA47" i="27"/>
  <c r="BA49" i="27" s="1"/>
  <c r="AV63" i="22"/>
  <c r="AW80" i="29"/>
  <c r="AW76" i="29"/>
  <c r="AW86" i="29"/>
  <c r="AW67" i="29"/>
  <c r="AW79" i="29"/>
  <c r="AY59" i="29"/>
  <c r="AY60" i="29"/>
  <c r="AY61" i="29"/>
  <c r="BJ72" i="11"/>
  <c r="M35" i="11"/>
  <c r="F21" i="11" s="1"/>
  <c r="AX55" i="29"/>
  <c r="AX74" i="29" s="1"/>
  <c r="AX75" i="29" s="1"/>
  <c r="BA42" i="29"/>
  <c r="AZ44" i="29"/>
  <c r="AZ48" i="29" s="1"/>
  <c r="AZ52" i="29" s="1"/>
  <c r="AZ45" i="29"/>
  <c r="AZ49" i="29" s="1"/>
  <c r="AZ53" i="29" s="1"/>
  <c r="AZ58" i="29"/>
  <c r="AZ43" i="29"/>
  <c r="AZ47" i="29" s="1"/>
  <c r="AX62" i="29"/>
  <c r="AX63" i="29" s="1"/>
  <c r="AX66" i="29" s="1"/>
  <c r="F10" i="11"/>
  <c r="BC72" i="29"/>
  <c r="AW85" i="29"/>
  <c r="AV87" i="29"/>
  <c r="AV88" i="29" s="1"/>
  <c r="AY51" i="29"/>
  <c r="AY54" i="29" s="1"/>
  <c r="AY46" i="29"/>
  <c r="AV81" i="29"/>
  <c r="AV82" i="29" s="1"/>
  <c r="AY36" i="18"/>
  <c r="AZ34" i="18" s="1"/>
  <c r="AZ35" i="18" s="1"/>
  <c r="BA60" i="22"/>
  <c r="BA61" i="22" s="1"/>
  <c r="AZ62" i="22"/>
  <c r="AJ146" i="27"/>
  <c r="AJ148" i="27" s="1"/>
  <c r="BB74" i="22"/>
  <c r="BB43" i="22"/>
  <c r="BB44" i="22" s="1"/>
  <c r="AK140" i="27"/>
  <c r="AK142" i="27" s="1"/>
  <c r="BB58" i="17"/>
  <c r="BC35" i="17" a="1"/>
  <c r="BC35" i="17" s="1"/>
  <c r="BK38" i="27"/>
  <c r="BJ40" i="27"/>
  <c r="BF41" i="27"/>
  <c r="BF43" i="27" s="1"/>
  <c r="BA55" i="11"/>
  <c r="AZ66" i="11"/>
  <c r="D6" i="6"/>
  <c r="D10" i="6" s="1"/>
  <c r="D13" i="6" s="1"/>
  <c r="D30" i="6" s="1"/>
  <c r="E6" i="6"/>
  <c r="E10" i="6" s="1"/>
  <c r="E13" i="6" s="1"/>
  <c r="E30" i="6" s="1"/>
  <c r="F22" i="8"/>
  <c r="F23" i="8" s="1"/>
  <c r="AO44" i="16" l="1"/>
  <c r="AO43" i="16"/>
  <c r="AO49" i="16" s="1"/>
  <c r="AO45" i="16"/>
  <c r="AO46" i="16"/>
  <c r="AO52" i="16" s="1"/>
  <c r="AK72" i="16"/>
  <c r="AJ74" i="16"/>
  <c r="AJ75" i="16" s="1"/>
  <c r="AO51" i="16"/>
  <c r="AO50" i="16"/>
  <c r="AN53" i="16"/>
  <c r="AQ39" i="16"/>
  <c r="AP40" i="16"/>
  <c r="AZ46" i="11"/>
  <c r="AL67" i="16"/>
  <c r="AZ57" i="11" s="1"/>
  <c r="AL63" i="16"/>
  <c r="AZ80" i="11" s="1"/>
  <c r="BB77" i="27"/>
  <c r="BB79" i="27" s="1"/>
  <c r="AM61" i="16"/>
  <c r="AM62" i="16" s="1"/>
  <c r="AM73" i="16"/>
  <c r="AM66" i="16"/>
  <c r="BC74" i="27"/>
  <c r="BC76" i="27" s="1"/>
  <c r="Z82" i="22"/>
  <c r="Z83" i="22" s="1"/>
  <c r="BC176" i="27"/>
  <c r="BC178" i="27" s="1"/>
  <c r="BA60" i="11"/>
  <c r="BA71" i="11" s="1"/>
  <c r="Z78" i="22"/>
  <c r="BA83" i="11" s="1"/>
  <c r="AP41" i="17"/>
  <c r="AP40" i="17"/>
  <c r="AP39" i="17"/>
  <c r="M72" i="18"/>
  <c r="N72" i="18" s="1"/>
  <c r="O72" i="18" s="1"/>
  <c r="P72" i="18" s="1"/>
  <c r="Q72" i="18" s="1"/>
  <c r="R72" i="18" s="1"/>
  <c r="S72" i="18" s="1"/>
  <c r="T72" i="18" s="1"/>
  <c r="U72" i="18" s="1"/>
  <c r="V72" i="18" s="1"/>
  <c r="W72" i="18" s="1"/>
  <c r="X72" i="18" s="1"/>
  <c r="Y72" i="18" s="1"/>
  <c r="Z72" i="18" s="1"/>
  <c r="AA72" i="18" s="1"/>
  <c r="AB72" i="18" s="1"/>
  <c r="AC72" i="18" s="1"/>
  <c r="AD72" i="18" s="1"/>
  <c r="AE72" i="18" s="1"/>
  <c r="AF72" i="18" s="1"/>
  <c r="AG72" i="18" s="1"/>
  <c r="AH72" i="18" s="1"/>
  <c r="AI72" i="18" s="1"/>
  <c r="AJ72" i="18" s="1"/>
  <c r="AK72" i="18" s="1"/>
  <c r="AL72" i="18" s="1"/>
  <c r="AM72" i="18" s="1"/>
  <c r="AN72" i="18" s="1"/>
  <c r="AO72" i="18" s="1"/>
  <c r="AP72" i="18" s="1"/>
  <c r="AQ72" i="18" s="1"/>
  <c r="AR72" i="18" s="1"/>
  <c r="AS72" i="18" s="1"/>
  <c r="AT72" i="18" s="1"/>
  <c r="AU72" i="18" s="1"/>
  <c r="AV72" i="18" s="1"/>
  <c r="AW72" i="18" s="1"/>
  <c r="AX72" i="18" s="1"/>
  <c r="AY72" i="18" s="1"/>
  <c r="AZ72" i="18" s="1"/>
  <c r="BA72" i="18" s="1"/>
  <c r="BB72" i="18" s="1"/>
  <c r="BC72" i="18" s="1"/>
  <c r="BD72" i="18" s="1"/>
  <c r="BF59" i="19"/>
  <c r="BF60" i="19" s="1"/>
  <c r="BF61" i="19" s="1"/>
  <c r="BG56" i="19"/>
  <c r="X84" i="22"/>
  <c r="BA179" i="27"/>
  <c r="BA181" i="27" s="1"/>
  <c r="Y87" i="22"/>
  <c r="X89" i="22"/>
  <c r="X90" i="22" s="1"/>
  <c r="BH10" i="27"/>
  <c r="BH9" i="27"/>
  <c r="AD41" i="22"/>
  <c r="AD48" i="22" s="1"/>
  <c r="AD49" i="22" s="1"/>
  <c r="AD50" i="22" s="1"/>
  <c r="AD51" i="22" s="1"/>
  <c r="AD42" i="22"/>
  <c r="M62" i="18"/>
  <c r="AN82" i="11" s="1"/>
  <c r="M66" i="18"/>
  <c r="M71" i="18" s="1"/>
  <c r="BE67" i="19"/>
  <c r="AS73" i="19" s="1"/>
  <c r="I88" i="19" s="1"/>
  <c r="AS72" i="19"/>
  <c r="I87" i="19" s="1"/>
  <c r="I104" i="19" s="1"/>
  <c r="BE92" i="19" s="1"/>
  <c r="AF39" i="18"/>
  <c r="AY71" i="11"/>
  <c r="AU71" i="19"/>
  <c r="BG63" i="19"/>
  <c r="BG65" i="19"/>
  <c r="J86" i="19"/>
  <c r="BI3" i="27"/>
  <c r="BI5" i="27" s="1"/>
  <c r="BB176" i="27"/>
  <c r="BB178" i="27" s="1"/>
  <c r="AZ60" i="11"/>
  <c r="AZ71" i="11" s="1"/>
  <c r="Y82" i="22"/>
  <c r="Y83" i="22" s="1"/>
  <c r="Y78" i="22"/>
  <c r="AZ83" i="11" s="1"/>
  <c r="AC54" i="22"/>
  <c r="AC55" i="22" s="1"/>
  <c r="AC45" i="22"/>
  <c r="N47" i="18"/>
  <c r="N42" i="18"/>
  <c r="BG8" i="27"/>
  <c r="BH6" i="27"/>
  <c r="BI51" i="19"/>
  <c r="BI54" i="19" s="1"/>
  <c r="BI55" i="19" s="1"/>
  <c r="BI62" i="19" s="1"/>
  <c r="BH54" i="19"/>
  <c r="BH55" i="19" s="1"/>
  <c r="BH62" i="19" s="1"/>
  <c r="AA69" i="22"/>
  <c r="AA81" i="22"/>
  <c r="BD173" i="27"/>
  <c r="BD175" i="27" s="1"/>
  <c r="BB49" i="11"/>
  <c r="AA76" i="22"/>
  <c r="AA77" i="22" s="1"/>
  <c r="AA68" i="22"/>
  <c r="AB56" i="22"/>
  <c r="AB57" i="22" s="1"/>
  <c r="AB67" i="22" s="1"/>
  <c r="AB66" i="22"/>
  <c r="BE170" i="27" s="1"/>
  <c r="AE40" i="22"/>
  <c r="AQ38" i="17"/>
  <c r="AR36" i="16"/>
  <c r="AR38" i="16" s="1"/>
  <c r="BG71" i="27"/>
  <c r="BA80" i="27"/>
  <c r="BA82" i="27" s="1"/>
  <c r="AK69" i="16"/>
  <c r="AV46" i="31"/>
  <c r="AV49" i="31" s="1"/>
  <c r="AV52" i="31" s="1"/>
  <c r="AV60" i="31" s="1"/>
  <c r="AV61" i="31" s="1"/>
  <c r="AT66" i="31"/>
  <c r="AT67" i="31" s="1"/>
  <c r="AT68" i="31" s="1"/>
  <c r="AT62" i="31"/>
  <c r="BJ85" i="11" s="1"/>
  <c r="F97" i="11" s="1"/>
  <c r="BJ62" i="11"/>
  <c r="BC57" i="18"/>
  <c r="AU71" i="31"/>
  <c r="AT73" i="31"/>
  <c r="AT74" i="31" s="1"/>
  <c r="AU60" i="31"/>
  <c r="AU61" i="31" s="1"/>
  <c r="AU53" i="31"/>
  <c r="AU72" i="31"/>
  <c r="AU65" i="31"/>
  <c r="AY36" i="31"/>
  <c r="AX37" i="31"/>
  <c r="AW41" i="31"/>
  <c r="AW44" i="31"/>
  <c r="AW45" i="31"/>
  <c r="AW40" i="31"/>
  <c r="AW42" i="31"/>
  <c r="AW43" i="31"/>
  <c r="AZ58" i="31"/>
  <c r="BA57" i="31"/>
  <c r="BB47" i="27"/>
  <c r="BB49" i="27" s="1"/>
  <c r="BC44" i="27"/>
  <c r="BC46" i="27" s="1"/>
  <c r="AW81" i="29"/>
  <c r="AW82" i="29" s="1"/>
  <c r="AW63" i="22"/>
  <c r="AX80" i="29"/>
  <c r="AX76" i="29"/>
  <c r="AY62" i="29"/>
  <c r="AY63" i="29" s="1"/>
  <c r="AY66" i="29" s="1"/>
  <c r="AX86" i="29"/>
  <c r="AX67" i="29"/>
  <c r="AX79" i="29"/>
  <c r="AZ51" i="29"/>
  <c r="AZ54" i="29" s="1"/>
  <c r="AZ46" i="29"/>
  <c r="BA58" i="29"/>
  <c r="BA45" i="29"/>
  <c r="BA49" i="29" s="1"/>
  <c r="BA53" i="29" s="1"/>
  <c r="BB42" i="29"/>
  <c r="BA43" i="29"/>
  <c r="BA47" i="29" s="1"/>
  <c r="BA44" i="29"/>
  <c r="BA48" i="29" s="1"/>
  <c r="BA52" i="29" s="1"/>
  <c r="AY55" i="29"/>
  <c r="AY74" i="29" s="1"/>
  <c r="AY75" i="29" s="1"/>
  <c r="AX85" i="29"/>
  <c r="AW87" i="29"/>
  <c r="AW88" i="29" s="1"/>
  <c r="M36" i="11"/>
  <c r="F32" i="11" s="1"/>
  <c r="AZ59" i="29"/>
  <c r="AZ60" i="29"/>
  <c r="AZ61" i="29"/>
  <c r="BD72" i="29"/>
  <c r="AK143" i="27"/>
  <c r="AK145" i="27" s="1"/>
  <c r="AZ36" i="18"/>
  <c r="BA34" i="18" s="1"/>
  <c r="BA35" i="18" s="1"/>
  <c r="AI48" i="11"/>
  <c r="BB60" i="22"/>
  <c r="BB61" i="22" s="1"/>
  <c r="BC58" i="17"/>
  <c r="BD35" i="17" a="1"/>
  <c r="BD35" i="17" s="1"/>
  <c r="BA62" i="22"/>
  <c r="BC74" i="22"/>
  <c r="BC43" i="22"/>
  <c r="BC44" i="22" s="1"/>
  <c r="BC58" i="18"/>
  <c r="BK40" i="27"/>
  <c r="BL38" i="27"/>
  <c r="BL40" i="27" s="1"/>
  <c r="BB55" i="11"/>
  <c r="BA66" i="11"/>
  <c r="BG41" i="27"/>
  <c r="BG43" i="27" s="1"/>
  <c r="D25" i="8"/>
  <c r="E25" i="8"/>
  <c r="G22" i="8"/>
  <c r="G23" i="8" s="1"/>
  <c r="F6" i="6"/>
  <c r="F10" i="6" s="1"/>
  <c r="F13" i="6" s="1"/>
  <c r="F30" i="6" s="1"/>
  <c r="AP43" i="16" l="1"/>
  <c r="AP49" i="16" s="1"/>
  <c r="AP44" i="16"/>
  <c r="AP50" i="16" s="1"/>
  <c r="AP46" i="16"/>
  <c r="AP52" i="16" s="1"/>
  <c r="AP45" i="16"/>
  <c r="AP51" i="16" s="1"/>
  <c r="AK74" i="16"/>
  <c r="AK75" i="16" s="1"/>
  <c r="AL72" i="16"/>
  <c r="AZ68" i="11"/>
  <c r="AO53" i="16"/>
  <c r="AO66" i="16" s="1"/>
  <c r="BC46" i="11" s="1"/>
  <c r="AL68" i="16"/>
  <c r="BB80" i="27" s="1"/>
  <c r="BB82" i="27" s="1"/>
  <c r="BA46" i="11"/>
  <c r="AR39" i="16"/>
  <c r="AQ40" i="16"/>
  <c r="AM63" i="16"/>
  <c r="BA80" i="11" s="1"/>
  <c r="AM67" i="16"/>
  <c r="BA57" i="11" s="1"/>
  <c r="BC77" i="27"/>
  <c r="BC79" i="27" s="1"/>
  <c r="AN66" i="16"/>
  <c r="BB46" i="11" s="1"/>
  <c r="BD74" i="27"/>
  <c r="BD76" i="27" s="1"/>
  <c r="AN61" i="16"/>
  <c r="AN62" i="16" s="1"/>
  <c r="AN73" i="16"/>
  <c r="AE41" i="22"/>
  <c r="AE48" i="22" s="1"/>
  <c r="AE49" i="22" s="1"/>
  <c r="AE50" i="22" s="1"/>
  <c r="AE51" i="22" s="1"/>
  <c r="AE42" i="22"/>
  <c r="AF40" i="22"/>
  <c r="AR38" i="17"/>
  <c r="AS36" i="16"/>
  <c r="AS38" i="16" s="1"/>
  <c r="AD54" i="22"/>
  <c r="AD55" i="22" s="1"/>
  <c r="AD45" i="22"/>
  <c r="BG59" i="19"/>
  <c r="BG60" i="19" s="1"/>
  <c r="BG61" i="19" s="1"/>
  <c r="BH56" i="19"/>
  <c r="AT72" i="19"/>
  <c r="J87" i="19" s="1"/>
  <c r="J104" i="19" s="1"/>
  <c r="BF92" i="19" s="1"/>
  <c r="BF67" i="19"/>
  <c r="AT73" i="19" s="1"/>
  <c r="J88" i="19" s="1"/>
  <c r="AG39" i="18"/>
  <c r="AQ39" i="17"/>
  <c r="AQ40" i="17"/>
  <c r="AQ41" i="17"/>
  <c r="BH8" i="27"/>
  <c r="BI6" i="27"/>
  <c r="N48" i="18"/>
  <c r="N49" i="18" s="1"/>
  <c r="N52" i="18" s="1"/>
  <c r="N43" i="18"/>
  <c r="AI137" i="27" s="1"/>
  <c r="O40" i="18"/>
  <c r="BI9" i="27"/>
  <c r="BI10" i="27"/>
  <c r="K86" i="19"/>
  <c r="BJ3" i="27"/>
  <c r="BJ5" i="27" s="1"/>
  <c r="AA82" i="22"/>
  <c r="AA83" i="22" s="1"/>
  <c r="BD176" i="27"/>
  <c r="BD178" i="27" s="1"/>
  <c r="AA78" i="22"/>
  <c r="BB83" i="11" s="1"/>
  <c r="BB60" i="11"/>
  <c r="BB71" i="11" s="1"/>
  <c r="Y84" i="22"/>
  <c r="BB179" i="27"/>
  <c r="BB181" i="27" s="1"/>
  <c r="AV71" i="19"/>
  <c r="BH63" i="19"/>
  <c r="BH65" i="19"/>
  <c r="Y89" i="22"/>
  <c r="B92" i="22" s="1"/>
  <c r="E164" i="27" s="1"/>
  <c r="E166" i="27" s="1"/>
  <c r="Z87" i="22"/>
  <c r="BH71" i="27"/>
  <c r="AB69" i="22"/>
  <c r="BC49" i="11"/>
  <c r="AB81" i="22"/>
  <c r="AB68" i="22"/>
  <c r="BE173" i="27"/>
  <c r="BE175" i="27" s="1"/>
  <c r="AB76" i="22"/>
  <c r="AB77" i="22" s="1"/>
  <c r="AW71" i="19"/>
  <c r="BI63" i="19"/>
  <c r="BI65" i="19"/>
  <c r="AC56" i="22"/>
  <c r="AC57" i="22" s="1"/>
  <c r="AC67" i="22" s="1"/>
  <c r="AC66" i="22"/>
  <c r="BF170" i="27" s="1"/>
  <c r="M73" i="18"/>
  <c r="M74" i="18" s="1"/>
  <c r="N71" i="18"/>
  <c r="M67" i="18"/>
  <c r="M68" i="18" s="1"/>
  <c r="BC179" i="27"/>
  <c r="BC181" i="27" s="1"/>
  <c r="Z84" i="22"/>
  <c r="AV53" i="31"/>
  <c r="AV72" i="31"/>
  <c r="AV65" i="31"/>
  <c r="BA58" i="31"/>
  <c r="BB57" i="31"/>
  <c r="AU73" i="31"/>
  <c r="AU74" i="31" s="1"/>
  <c r="AV71" i="31"/>
  <c r="BJ73" i="11"/>
  <c r="F22" i="11"/>
  <c r="M40" i="11" s="1"/>
  <c r="M41" i="11" s="1"/>
  <c r="F33" i="11" s="1"/>
  <c r="AW46" i="31"/>
  <c r="AW49" i="31" s="1"/>
  <c r="AW52" i="31" s="1"/>
  <c r="AX45" i="31"/>
  <c r="AX42" i="31"/>
  <c r="AX43" i="31"/>
  <c r="AX40" i="31"/>
  <c r="AX44" i="31"/>
  <c r="AX41" i="31"/>
  <c r="AZ36" i="31"/>
  <c r="AY37" i="31"/>
  <c r="AU66" i="31"/>
  <c r="AU67" i="31" s="1"/>
  <c r="AU68" i="31" s="1"/>
  <c r="AU62" i="31"/>
  <c r="BD57" i="18"/>
  <c r="AV66" i="31"/>
  <c r="AV67" i="31" s="1"/>
  <c r="AV68" i="31" s="1"/>
  <c r="AV62" i="31"/>
  <c r="BC47" i="27"/>
  <c r="BC49" i="27" s="1"/>
  <c r="BD44" i="27"/>
  <c r="BD46" i="27" s="1"/>
  <c r="AX63" i="22"/>
  <c r="AX81" i="29"/>
  <c r="AX82" i="29" s="1"/>
  <c r="AY80" i="29"/>
  <c r="AY76" i="29"/>
  <c r="AZ62" i="29"/>
  <c r="AZ63" i="29" s="1"/>
  <c r="AZ66" i="29" s="1"/>
  <c r="BA60" i="29"/>
  <c r="BA59" i="29"/>
  <c r="BA61" i="29"/>
  <c r="AY86" i="29"/>
  <c r="AY67" i="29"/>
  <c r="AY79" i="29"/>
  <c r="AY85" i="29"/>
  <c r="AX87" i="29"/>
  <c r="AX88" i="29" s="1"/>
  <c r="BA51" i="29"/>
  <c r="BA54" i="29" s="1"/>
  <c r="BA46" i="29"/>
  <c r="BB44" i="29"/>
  <c r="BB48" i="29" s="1"/>
  <c r="BB52" i="29" s="1"/>
  <c r="BB43" i="29"/>
  <c r="BB47" i="29" s="1"/>
  <c r="BB58" i="29"/>
  <c r="BC42" i="29"/>
  <c r="BB45" i="29"/>
  <c r="BB49" i="29" s="1"/>
  <c r="BB53" i="29" s="1"/>
  <c r="AZ55" i="29"/>
  <c r="AZ74" i="29" s="1"/>
  <c r="AZ75" i="29" s="1"/>
  <c r="BA36" i="18"/>
  <c r="BB34" i="18" s="1"/>
  <c r="BB35" i="18" s="1"/>
  <c r="BD74" i="22"/>
  <c r="BD43" i="22"/>
  <c r="BD44" i="22" s="1"/>
  <c r="BD58" i="17"/>
  <c r="BC60" i="22"/>
  <c r="BC61" i="22" s="1"/>
  <c r="BB62" i="22"/>
  <c r="BH41" i="27"/>
  <c r="BH43" i="27" s="1"/>
  <c r="BC55" i="11"/>
  <c r="BB66" i="11"/>
  <c r="F25" i="8"/>
  <c r="H22" i="8"/>
  <c r="H23" i="8" s="1"/>
  <c r="G6" i="6"/>
  <c r="G10" i="6" s="1"/>
  <c r="G13" i="6" s="1"/>
  <c r="G30" i="6" s="1"/>
  <c r="AL69" i="16" l="1"/>
  <c r="AQ46" i="16"/>
  <c r="AQ52" i="16" s="1"/>
  <c r="AQ45" i="16"/>
  <c r="AQ51" i="16" s="1"/>
  <c r="AQ44" i="16"/>
  <c r="AQ50" i="16" s="1"/>
  <c r="AQ43" i="16"/>
  <c r="BE74" i="27"/>
  <c r="BE76" i="27" s="1"/>
  <c r="AM72" i="16"/>
  <c r="AL74" i="16"/>
  <c r="AL75" i="16" s="1"/>
  <c r="AP53" i="16"/>
  <c r="AO73" i="16"/>
  <c r="AO61" i="16"/>
  <c r="AO62" i="16" s="1"/>
  <c r="AM68" i="16"/>
  <c r="AN63" i="16"/>
  <c r="BB80" i="11" s="1"/>
  <c r="BD77" i="27"/>
  <c r="BD79" i="27" s="1"/>
  <c r="AN67" i="16"/>
  <c r="AQ49" i="16"/>
  <c r="BA68" i="11"/>
  <c r="AS39" i="16"/>
  <c r="AR40" i="16"/>
  <c r="Y90" i="22"/>
  <c r="B93" i="22" s="1"/>
  <c r="E167" i="27" s="1"/>
  <c r="E169" i="27" s="1"/>
  <c r="E172" i="27" s="1"/>
  <c r="M86" i="19"/>
  <c r="BL3" i="27"/>
  <c r="BL5" i="27" s="1"/>
  <c r="Z89" i="22"/>
  <c r="AA87" i="22"/>
  <c r="AR41" i="17"/>
  <c r="AR39" i="17"/>
  <c r="AR40" i="17"/>
  <c r="BC60" i="11"/>
  <c r="AB82" i="22"/>
  <c r="AB83" i="22" s="1"/>
  <c r="BE176" i="27"/>
  <c r="BE178" i="27" s="1"/>
  <c r="AB78" i="22"/>
  <c r="BC83" i="11" s="1"/>
  <c r="L86" i="19"/>
  <c r="BK3" i="27"/>
  <c r="BK5" i="27" s="1"/>
  <c r="AA84" i="22"/>
  <c r="BD179" i="27"/>
  <c r="BD181" i="27" s="1"/>
  <c r="BJ10" i="27"/>
  <c r="BJ9" i="27"/>
  <c r="N53" i="18"/>
  <c r="N65" i="18"/>
  <c r="N60" i="18"/>
  <c r="N61" i="18" s="1"/>
  <c r="AG40" i="22"/>
  <c r="AS38" i="17"/>
  <c r="AT36" i="16"/>
  <c r="AT38" i="16" s="1"/>
  <c r="AF41" i="22"/>
  <c r="AF48" i="22" s="1"/>
  <c r="AF49" i="22" s="1"/>
  <c r="AF50" i="22" s="1"/>
  <c r="AF51" i="22" s="1"/>
  <c r="AF42" i="22"/>
  <c r="AC69" i="22"/>
  <c r="AC68" i="22"/>
  <c r="BF173" i="27"/>
  <c r="BF175" i="27" s="1"/>
  <c r="AC81" i="22"/>
  <c r="AC76" i="22"/>
  <c r="AC77" i="22" s="1"/>
  <c r="BD49" i="11"/>
  <c r="BI8" i="27"/>
  <c r="BJ6" i="27"/>
  <c r="BH59" i="19"/>
  <c r="BH60" i="19" s="1"/>
  <c r="BH61" i="19" s="1"/>
  <c r="BI56" i="19"/>
  <c r="BI59" i="19" s="1"/>
  <c r="BI60" i="19" s="1"/>
  <c r="BI61" i="19" s="1"/>
  <c r="BD39" i="18" s="1"/>
  <c r="AD56" i="22"/>
  <c r="AD57" i="22" s="1"/>
  <c r="AD67" i="22" s="1"/>
  <c r="AD66" i="22"/>
  <c r="BG170" i="27" s="1"/>
  <c r="AE54" i="22"/>
  <c r="AE55" i="22" s="1"/>
  <c r="AE45" i="22"/>
  <c r="O71" i="18"/>
  <c r="N73" i="18"/>
  <c r="N74" i="18" s="1"/>
  <c r="O41" i="18"/>
  <c r="O46" i="18"/>
  <c r="AU72" i="19"/>
  <c r="K87" i="19" s="1"/>
  <c r="K104" i="19" s="1"/>
  <c r="BG92" i="19" s="1"/>
  <c r="BG67" i="19"/>
  <c r="AU73" i="19" s="1"/>
  <c r="K88" i="19" s="1"/>
  <c r="AH39" i="18"/>
  <c r="BI71" i="27"/>
  <c r="BD58" i="18"/>
  <c r="AW60" i="31"/>
  <c r="AW61" i="31" s="1"/>
  <c r="AW53" i="31"/>
  <c r="AW72" i="31"/>
  <c r="AW65" i="31"/>
  <c r="AX46" i="31"/>
  <c r="AX49" i="31" s="1"/>
  <c r="AX52" i="31" s="1"/>
  <c r="BB58" i="31"/>
  <c r="BC57" i="31"/>
  <c r="AY45" i="31"/>
  <c r="AY42" i="31"/>
  <c r="AY40" i="31"/>
  <c r="AY44" i="31"/>
  <c r="AY43" i="31"/>
  <c r="AY41" i="31"/>
  <c r="BA36" i="31"/>
  <c r="AZ37" i="31"/>
  <c r="AV73" i="31"/>
  <c r="AV74" i="31" s="1"/>
  <c r="AW71" i="31"/>
  <c r="BD47" i="27"/>
  <c r="BD49" i="27" s="1"/>
  <c r="BE44" i="27"/>
  <c r="BE46" i="27" s="1"/>
  <c r="AY63" i="22"/>
  <c r="AY81" i="29"/>
  <c r="AY82" i="29" s="1"/>
  <c r="AZ80" i="29"/>
  <c r="AZ76" i="29"/>
  <c r="BB60" i="29"/>
  <c r="BB61" i="29"/>
  <c r="BB59" i="29"/>
  <c r="BA55" i="29"/>
  <c r="BA74" i="29" s="1"/>
  <c r="BA75" i="29" s="1"/>
  <c r="AZ86" i="29"/>
  <c r="AZ67" i="29"/>
  <c r="AZ79" i="29"/>
  <c r="BB51" i="29"/>
  <c r="BB54" i="29" s="1"/>
  <c r="BB46" i="29"/>
  <c r="AZ85" i="29"/>
  <c r="AY87" i="29"/>
  <c r="AY88" i="29" s="1"/>
  <c r="BD42" i="29"/>
  <c r="BC45" i="29"/>
  <c r="BC49" i="29" s="1"/>
  <c r="BC53" i="29" s="1"/>
  <c r="BC44" i="29"/>
  <c r="BC48" i="29" s="1"/>
  <c r="BC52" i="29" s="1"/>
  <c r="BC58" i="29"/>
  <c r="BC43" i="29"/>
  <c r="BC47" i="29" s="1"/>
  <c r="BA62" i="29"/>
  <c r="BA63" i="29" s="1"/>
  <c r="BA66" i="29" s="1"/>
  <c r="BB36" i="18"/>
  <c r="BC34" i="18" s="1"/>
  <c r="BC35" i="18" s="1"/>
  <c r="BD60" i="22"/>
  <c r="BD61" i="22" s="1"/>
  <c r="BC62" i="22"/>
  <c r="AL140" i="27"/>
  <c r="AL142" i="27" s="1"/>
  <c r="BD55" i="11"/>
  <c r="BC66" i="11"/>
  <c r="BI41" i="27"/>
  <c r="BI43" i="27" s="1"/>
  <c r="G25" i="8"/>
  <c r="I22" i="8"/>
  <c r="I23" i="8" s="1"/>
  <c r="H6" i="6"/>
  <c r="H10" i="6" s="1"/>
  <c r="H13" i="6" s="1"/>
  <c r="H30" i="6" s="1"/>
  <c r="AR45" i="16" l="1"/>
  <c r="AR44" i="16"/>
  <c r="AR46" i="16"/>
  <c r="AR52" i="16" s="1"/>
  <c r="AR43" i="16"/>
  <c r="AM74" i="16"/>
  <c r="AM75" i="16" s="1"/>
  <c r="AN72" i="16"/>
  <c r="AO67" i="16"/>
  <c r="BE77" i="27"/>
  <c r="BE79" i="27" s="1"/>
  <c r="AO63" i="16"/>
  <c r="BC80" i="11" s="1"/>
  <c r="AP66" i="16"/>
  <c r="BD46" i="11" s="1"/>
  <c r="AP73" i="16"/>
  <c r="BF74" i="27"/>
  <c r="BF76" i="27" s="1"/>
  <c r="AP61" i="16"/>
  <c r="AP62" i="16" s="1"/>
  <c r="BB57" i="11"/>
  <c r="BB68" i="11" s="1"/>
  <c r="AN68" i="16"/>
  <c r="AR49" i="16"/>
  <c r="AR51" i="16"/>
  <c r="AR50" i="16"/>
  <c r="AT39" i="16"/>
  <c r="AS40" i="16"/>
  <c r="AQ53" i="16"/>
  <c r="BC80" i="27"/>
  <c r="BC82" i="27" s="1"/>
  <c r="AM69" i="16"/>
  <c r="Z90" i="22"/>
  <c r="BH67" i="19"/>
  <c r="AV73" i="19" s="1"/>
  <c r="L88" i="19" s="1"/>
  <c r="AV72" i="19"/>
  <c r="L87" i="19" s="1"/>
  <c r="L104" i="19" s="1"/>
  <c r="BH92" i="19" s="1"/>
  <c r="AI39" i="18"/>
  <c r="AG42" i="22"/>
  <c r="AG41" i="22"/>
  <c r="AG48" i="22" s="1"/>
  <c r="AG49" i="22" s="1"/>
  <c r="AG50" i="22" s="1"/>
  <c r="AG51" i="22" s="1"/>
  <c r="AA89" i="22"/>
  <c r="AA90" i="22" s="1"/>
  <c r="AB87" i="22"/>
  <c r="P71" i="18"/>
  <c r="O73" i="18"/>
  <c r="O74" i="18" s="1"/>
  <c r="AE56" i="22"/>
  <c r="AE57" i="22" s="1"/>
  <c r="AE67" i="22" s="1"/>
  <c r="AE66" i="22"/>
  <c r="BH170" i="27" s="1"/>
  <c r="AF54" i="22"/>
  <c r="AF55" i="22" s="1"/>
  <c r="AF45" i="22"/>
  <c r="O47" i="18"/>
  <c r="O42" i="18"/>
  <c r="BJ8" i="27"/>
  <c r="BK6" i="27"/>
  <c r="N62" i="18"/>
  <c r="AO82" i="11" s="1"/>
  <c r="N66" i="18"/>
  <c r="AG59" i="11" s="1"/>
  <c r="AG70" i="11" s="1"/>
  <c r="BK10" i="27"/>
  <c r="BK9" i="27"/>
  <c r="BE179" i="27"/>
  <c r="BE181" i="27" s="1"/>
  <c r="AB84" i="22"/>
  <c r="BG173" i="27"/>
  <c r="BG175" i="27" s="1"/>
  <c r="AD68" i="22"/>
  <c r="AD76" i="22"/>
  <c r="AD77" i="22" s="1"/>
  <c r="AD81" i="22"/>
  <c r="AD69" i="22"/>
  <c r="BE49" i="11"/>
  <c r="BJ71" i="27"/>
  <c r="BC71" i="11"/>
  <c r="BL10" i="27"/>
  <c r="BL9" i="27"/>
  <c r="AH40" i="22"/>
  <c r="AT38" i="17"/>
  <c r="AU36" i="16"/>
  <c r="AU38" i="16" s="1"/>
  <c r="AW72" i="19"/>
  <c r="M87" i="19" s="1"/>
  <c r="BI67" i="19"/>
  <c r="AW73" i="19" s="1"/>
  <c r="M88" i="19" s="1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AC82" i="22"/>
  <c r="AC83" i="22" s="1"/>
  <c r="BD60" i="11"/>
  <c r="BD71" i="11" s="1"/>
  <c r="AC78" i="22"/>
  <c r="BD83" i="11" s="1"/>
  <c r="BF176" i="27"/>
  <c r="BF178" i="27" s="1"/>
  <c r="AS39" i="17"/>
  <c r="AS40" i="17"/>
  <c r="AS41" i="17"/>
  <c r="AZ43" i="31"/>
  <c r="AZ44" i="31"/>
  <c r="AZ42" i="31"/>
  <c r="AZ41" i="31"/>
  <c r="AZ40" i="31"/>
  <c r="AZ45" i="31"/>
  <c r="BC58" i="31"/>
  <c r="BD57" i="31"/>
  <c r="BB36" i="31"/>
  <c r="BA37" i="31"/>
  <c r="AY46" i="31"/>
  <c r="AY49" i="31" s="1"/>
  <c r="AY52" i="31" s="1"/>
  <c r="AX71" i="31"/>
  <c r="AW73" i="31"/>
  <c r="AW74" i="31" s="1"/>
  <c r="AX60" i="31"/>
  <c r="AX61" i="31" s="1"/>
  <c r="AX65" i="31"/>
  <c r="AX53" i="31"/>
  <c r="AX72" i="31"/>
  <c r="AW66" i="31"/>
  <c r="AW67" i="31" s="1"/>
  <c r="AW68" i="31" s="1"/>
  <c r="AW62" i="31"/>
  <c r="BF44" i="27"/>
  <c r="BF46" i="27" s="1"/>
  <c r="BE47" i="27"/>
  <c r="BE49" i="27" s="1"/>
  <c r="AZ63" i="22"/>
  <c r="AZ81" i="29"/>
  <c r="AZ82" i="29" s="1"/>
  <c r="BA80" i="29"/>
  <c r="BA76" i="29"/>
  <c r="BC51" i="29"/>
  <c r="BC54" i="29" s="1"/>
  <c r="BC46" i="29"/>
  <c r="BD58" i="29"/>
  <c r="BD44" i="29"/>
  <c r="BD48" i="29" s="1"/>
  <c r="BD52" i="29" s="1"/>
  <c r="BD43" i="29"/>
  <c r="BD47" i="29" s="1"/>
  <c r="BD45" i="29"/>
  <c r="BD49" i="29" s="1"/>
  <c r="BD53" i="29" s="1"/>
  <c r="BA86" i="29"/>
  <c r="BA79" i="29"/>
  <c r="BA67" i="29"/>
  <c r="BC60" i="29"/>
  <c r="BC61" i="29"/>
  <c r="BC59" i="29"/>
  <c r="AZ87" i="29"/>
  <c r="AZ88" i="29" s="1"/>
  <c r="BA85" i="29"/>
  <c r="BB62" i="29"/>
  <c r="BB63" i="29" s="1"/>
  <c r="BB66" i="29" s="1"/>
  <c r="BB55" i="29"/>
  <c r="BB74" i="29" s="1"/>
  <c r="BB75" i="29" s="1"/>
  <c r="BC36" i="18"/>
  <c r="BD34" i="18" s="1"/>
  <c r="BD35" i="18" s="1"/>
  <c r="AL143" i="27"/>
  <c r="AL145" i="27" s="1"/>
  <c r="BD62" i="22"/>
  <c r="AJ48" i="11"/>
  <c r="BJ41" i="27"/>
  <c r="BJ43" i="27" s="1"/>
  <c r="BE55" i="11"/>
  <c r="BD66" i="11"/>
  <c r="H25" i="8"/>
  <c r="J22" i="8"/>
  <c r="J23" i="8" s="1"/>
  <c r="I6" i="6"/>
  <c r="I10" i="6" s="1"/>
  <c r="I13" i="6" s="1"/>
  <c r="I30" i="6" s="1"/>
  <c r="AS44" i="16" l="1"/>
  <c r="AS50" i="16" s="1"/>
  <c r="AS43" i="16"/>
  <c r="AS46" i="16"/>
  <c r="AS52" i="16" s="1"/>
  <c r="AS45" i="16"/>
  <c r="AO72" i="16"/>
  <c r="AN74" i="16"/>
  <c r="AN75" i="16" s="1"/>
  <c r="AP63" i="16"/>
  <c r="BD80" i="11" s="1"/>
  <c r="AP67" i="16"/>
  <c r="BF77" i="27"/>
  <c r="BF79" i="27" s="1"/>
  <c r="BC57" i="11"/>
  <c r="BC68" i="11" s="1"/>
  <c r="AO68" i="16"/>
  <c r="AS51" i="16"/>
  <c r="AS49" i="16"/>
  <c r="AR53" i="16"/>
  <c r="AU39" i="16"/>
  <c r="AU40" i="16" s="1"/>
  <c r="AT40" i="16"/>
  <c r="AN69" i="16"/>
  <c r="BD80" i="27"/>
  <c r="BD82" i="27" s="1"/>
  <c r="BG74" i="27"/>
  <c r="BG76" i="27" s="1"/>
  <c r="AQ73" i="16"/>
  <c r="AQ66" i="16"/>
  <c r="BE46" i="11" s="1"/>
  <c r="AQ61" i="16"/>
  <c r="AQ62" i="16" s="1"/>
  <c r="N67" i="18"/>
  <c r="N68" i="18" s="1"/>
  <c r="BF179" i="27"/>
  <c r="BF181" i="27" s="1"/>
  <c r="AC84" i="22"/>
  <c r="AF56" i="22"/>
  <c r="AF57" i="22" s="1"/>
  <c r="AF67" i="22" s="1"/>
  <c r="AF66" i="22"/>
  <c r="BI170" i="27" s="1"/>
  <c r="P73" i="18"/>
  <c r="P74" i="18" s="1"/>
  <c r="Q71" i="18"/>
  <c r="AI40" i="22"/>
  <c r="AU38" i="17"/>
  <c r="G24" i="7"/>
  <c r="M104" i="19"/>
  <c r="BI92" i="19" s="1"/>
  <c r="P40" i="18"/>
  <c r="O48" i="18"/>
  <c r="O49" i="18" s="1"/>
  <c r="O52" i="18" s="1"/>
  <c r="O43" i="18"/>
  <c r="AJ137" i="27" s="1"/>
  <c r="AH42" i="22"/>
  <c r="AH41" i="22"/>
  <c r="AH48" i="22" s="1"/>
  <c r="AH49" i="22" s="1"/>
  <c r="AH50" i="22" s="1"/>
  <c r="AH51" i="22" s="1"/>
  <c r="AG54" i="22"/>
  <c r="AG55" i="22" s="1"/>
  <c r="AG45" i="22"/>
  <c r="BK71" i="27"/>
  <c r="BL71" i="27"/>
  <c r="AD78" i="22"/>
  <c r="BE83" i="11" s="1"/>
  <c r="BG176" i="27"/>
  <c r="BG178" i="27" s="1"/>
  <c r="AD82" i="22"/>
  <c r="AD83" i="22" s="1"/>
  <c r="BE60" i="11"/>
  <c r="BE71" i="11" s="1"/>
  <c r="AE69" i="22"/>
  <c r="AE76" i="22"/>
  <c r="AE77" i="22" s="1"/>
  <c r="BF49" i="11"/>
  <c r="BH173" i="27"/>
  <c r="BH175" i="27" s="1"/>
  <c r="AE81" i="22"/>
  <c r="AE68" i="22"/>
  <c r="AT40" i="17"/>
  <c r="AT41" i="17"/>
  <c r="AT39" i="17"/>
  <c r="BK8" i="27"/>
  <c r="BL6" i="27"/>
  <c r="BL8" i="27" s="1"/>
  <c r="AC87" i="22"/>
  <c r="AB89" i="22"/>
  <c r="AB90" i="22" s="1"/>
  <c r="AX66" i="31"/>
  <c r="AX67" i="31" s="1"/>
  <c r="AX68" i="31" s="1"/>
  <c r="AX62" i="31"/>
  <c r="AY60" i="31"/>
  <c r="AY61" i="31" s="1"/>
  <c r="AY65" i="31"/>
  <c r="AY72" i="31"/>
  <c r="AY53" i="31"/>
  <c r="BA42" i="31"/>
  <c r="BA41" i="31"/>
  <c r="BA44" i="31"/>
  <c r="BA45" i="31"/>
  <c r="BA40" i="31"/>
  <c r="BA43" i="31"/>
  <c r="BC36" i="31"/>
  <c r="BB37" i="31"/>
  <c r="AZ46" i="31"/>
  <c r="AZ49" i="31" s="1"/>
  <c r="AZ52" i="31" s="1"/>
  <c r="AX73" i="31"/>
  <c r="AX74" i="31" s="1"/>
  <c r="AY71" i="31"/>
  <c r="BD58" i="31"/>
  <c r="BG44" i="27"/>
  <c r="BG46" i="27" s="1"/>
  <c r="BF47" i="27"/>
  <c r="BF49" i="27" s="1"/>
  <c r="BA63" i="22"/>
  <c r="BA81" i="29"/>
  <c r="BA82" i="29" s="1"/>
  <c r="BB80" i="29"/>
  <c r="BB76" i="29"/>
  <c r="BC62" i="29"/>
  <c r="BC63" i="29" s="1"/>
  <c r="BC66" i="29" s="1"/>
  <c r="BB86" i="29"/>
  <c r="BB79" i="29"/>
  <c r="BB67" i="29"/>
  <c r="BD61" i="29"/>
  <c r="BD59" i="29"/>
  <c r="BD60" i="29"/>
  <c r="BB85" i="29"/>
  <c r="BA87" i="29"/>
  <c r="BA88" i="29" s="1"/>
  <c r="BD51" i="29"/>
  <c r="BD54" i="29" s="1"/>
  <c r="BD46" i="29"/>
  <c r="BC55" i="29"/>
  <c r="BC74" i="29" s="1"/>
  <c r="BC75" i="29" s="1"/>
  <c r="AL146" i="27"/>
  <c r="AL148" i="27" s="1"/>
  <c r="BD36" i="18"/>
  <c r="BF55" i="11"/>
  <c r="BE66" i="11"/>
  <c r="BK41" i="27"/>
  <c r="BK43" i="27" s="1"/>
  <c r="I25" i="8"/>
  <c r="J6" i="6"/>
  <c r="J10" i="6" s="1"/>
  <c r="J13" i="6" s="1"/>
  <c r="J30" i="6" s="1"/>
  <c r="K22" i="8"/>
  <c r="K23" i="8" s="1"/>
  <c r="AT43" i="16" l="1"/>
  <c r="AT46" i="16"/>
  <c r="AT52" i="16" s="1"/>
  <c r="AT45" i="16"/>
  <c r="AT51" i="16" s="1"/>
  <c r="AT44" i="16"/>
  <c r="AU46" i="16"/>
  <c r="AU52" i="16" s="1"/>
  <c r="AU45" i="16"/>
  <c r="AU51" i="16" s="1"/>
  <c r="AU43" i="16"/>
  <c r="AU44" i="16"/>
  <c r="AU50" i="16" s="1"/>
  <c r="AO74" i="16"/>
  <c r="AO75" i="16" s="1"/>
  <c r="AP72" i="16"/>
  <c r="BD57" i="11"/>
  <c r="BD68" i="11" s="1"/>
  <c r="AP68" i="16"/>
  <c r="AO69" i="16"/>
  <c r="BE80" i="27"/>
  <c r="BE82" i="27" s="1"/>
  <c r="AS53" i="16"/>
  <c r="AT50" i="16"/>
  <c r="AT49" i="16"/>
  <c r="AU49" i="16"/>
  <c r="BG77" i="27"/>
  <c r="BG79" i="27" s="1"/>
  <c r="AQ63" i="16"/>
  <c r="BE80" i="11" s="1"/>
  <c r="AQ67" i="16"/>
  <c r="AR73" i="16"/>
  <c r="AR66" i="16"/>
  <c r="BH74" i="27"/>
  <c r="BH76" i="27" s="1"/>
  <c r="AR61" i="16"/>
  <c r="AR62" i="16" s="1"/>
  <c r="AG56" i="22"/>
  <c r="AG57" i="22" s="1"/>
  <c r="AG67" i="22" s="1"/>
  <c r="AG66" i="22"/>
  <c r="BJ170" i="27" s="1"/>
  <c r="O65" i="18"/>
  <c r="O60" i="18"/>
  <c r="O61" i="18" s="1"/>
  <c r="O53" i="18"/>
  <c r="R71" i="18"/>
  <c r="Q73" i="18"/>
  <c r="Q74" i="18" s="1"/>
  <c r="P46" i="18"/>
  <c r="P41" i="18"/>
  <c r="AJ40" i="22"/>
  <c r="AK40" i="22"/>
  <c r="AL40" i="22"/>
  <c r="AM40" i="22"/>
  <c r="AN40" i="22"/>
  <c r="AO40" i="22"/>
  <c r="AP40" i="22"/>
  <c r="AQ40" i="22"/>
  <c r="AR40" i="22"/>
  <c r="AS40" i="22"/>
  <c r="AT40" i="22"/>
  <c r="AU40" i="22"/>
  <c r="AV40" i="22"/>
  <c r="AV38" i="17"/>
  <c r="AW38" i="17"/>
  <c r="AW40" i="22"/>
  <c r="AX40" i="22"/>
  <c r="AX38" i="17"/>
  <c r="AY40" i="22"/>
  <c r="AY38" i="17"/>
  <c r="AZ40" i="22"/>
  <c r="AZ38" i="17"/>
  <c r="BA40" i="22"/>
  <c r="BA38" i="17"/>
  <c r="BB40" i="22"/>
  <c r="BB38" i="17"/>
  <c r="BC38" i="17"/>
  <c r="BC40" i="22"/>
  <c r="BD38" i="17"/>
  <c r="BD40" i="22"/>
  <c r="BG179" i="27"/>
  <c r="BG181" i="27" s="1"/>
  <c r="AD84" i="22"/>
  <c r="AH54" i="22"/>
  <c r="AH55" i="22" s="1"/>
  <c r="AH45" i="22"/>
  <c r="AU39" i="17"/>
  <c r="AU40" i="17"/>
  <c r="AU41" i="17"/>
  <c r="AC89" i="22"/>
  <c r="AC90" i="22" s="1"/>
  <c r="AD87" i="22"/>
  <c r="AE82" i="22"/>
  <c r="AE83" i="22" s="1"/>
  <c r="AE78" i="22"/>
  <c r="BF83" i="11" s="1"/>
  <c r="BH176" i="27"/>
  <c r="BH178" i="27" s="1"/>
  <c r="BF60" i="11"/>
  <c r="AI41" i="22"/>
  <c r="AI48" i="22" s="1"/>
  <c r="AI49" i="22" s="1"/>
  <c r="AI50" i="22" s="1"/>
  <c r="AI51" i="22" s="1"/>
  <c r="AI42" i="22"/>
  <c r="BG49" i="11"/>
  <c r="AF81" i="22"/>
  <c r="AF68" i="22"/>
  <c r="BI173" i="27"/>
  <c r="BI175" i="27" s="1"/>
  <c r="AF69" i="22"/>
  <c r="AF76" i="22"/>
  <c r="AF77" i="22" s="1"/>
  <c r="BB44" i="31"/>
  <c r="BB45" i="31"/>
  <c r="BB42" i="31"/>
  <c r="BB43" i="31"/>
  <c r="BB40" i="31"/>
  <c r="BB41" i="31"/>
  <c r="AY73" i="31"/>
  <c r="AY74" i="31" s="1"/>
  <c r="AZ71" i="31"/>
  <c r="BD36" i="31"/>
  <c r="BD37" i="31" s="1"/>
  <c r="BC37" i="31"/>
  <c r="AZ60" i="31"/>
  <c r="AZ61" i="31" s="1"/>
  <c r="AZ65" i="31"/>
  <c r="AZ72" i="31"/>
  <c r="AZ53" i="31"/>
  <c r="BA46" i="31"/>
  <c r="BA49" i="31" s="1"/>
  <c r="BA52" i="31" s="1"/>
  <c r="AY66" i="31"/>
  <c r="AY67" i="31" s="1"/>
  <c r="AY68" i="31" s="1"/>
  <c r="AY62" i="31"/>
  <c r="BG47" i="27"/>
  <c r="BG49" i="27" s="1"/>
  <c r="BH44" i="27"/>
  <c r="BH46" i="27" s="1"/>
  <c r="BB63" i="22"/>
  <c r="BB81" i="29"/>
  <c r="BB82" i="29" s="1"/>
  <c r="BC80" i="29"/>
  <c r="BC76" i="29"/>
  <c r="BC86" i="29"/>
  <c r="BC79" i="29"/>
  <c r="BC67" i="29"/>
  <c r="BC85" i="29"/>
  <c r="BB87" i="29"/>
  <c r="BB88" i="29" s="1"/>
  <c r="BD55" i="29"/>
  <c r="BD74" i="29" s="1"/>
  <c r="BD75" i="29" s="1"/>
  <c r="BD62" i="29"/>
  <c r="BD63" i="29" s="1"/>
  <c r="BD66" i="29" s="1"/>
  <c r="AM140" i="27"/>
  <c r="AM142" i="27" s="1"/>
  <c r="BG55" i="11"/>
  <c r="BF66" i="11"/>
  <c r="J25" i="8"/>
  <c r="K6" i="6"/>
  <c r="K10" i="6" s="1"/>
  <c r="K13" i="6" s="1"/>
  <c r="K30" i="6" s="1"/>
  <c r="L22" i="8"/>
  <c r="AU53" i="16" l="1"/>
  <c r="BK74" i="27" s="1"/>
  <c r="BK76" i="27" s="1"/>
  <c r="AQ72" i="16"/>
  <c r="AP74" i="16"/>
  <c r="AP75" i="16" s="1"/>
  <c r="BF80" i="27"/>
  <c r="BF82" i="27" s="1"/>
  <c r="AP69" i="16"/>
  <c r="AS73" i="16"/>
  <c r="BI74" i="27"/>
  <c r="BI76" i="27" s="1"/>
  <c r="AS61" i="16"/>
  <c r="AS62" i="16" s="1"/>
  <c r="AS66" i="16"/>
  <c r="BG46" i="11" s="1"/>
  <c r="AR67" i="16"/>
  <c r="BF57" i="11" s="1"/>
  <c r="AR63" i="16"/>
  <c r="BF80" i="11" s="1"/>
  <c r="BH77" i="27"/>
  <c r="BH79" i="27" s="1"/>
  <c r="AT53" i="16"/>
  <c r="BE57" i="11"/>
  <c r="BE68" i="11" s="1"/>
  <c r="AQ68" i="16"/>
  <c r="BF46" i="11"/>
  <c r="AU73" i="16"/>
  <c r="BL74" i="27"/>
  <c r="BL76" i="27" s="1"/>
  <c r="BD41" i="17"/>
  <c r="BD39" i="17"/>
  <c r="BD40" i="17"/>
  <c r="BB41" i="22"/>
  <c r="BB48" i="22" s="1"/>
  <c r="BB49" i="22" s="1"/>
  <c r="BB50" i="22" s="1"/>
  <c r="BB42" i="22"/>
  <c r="AZ42" i="22"/>
  <c r="AZ41" i="22"/>
  <c r="AZ48" i="22" s="1"/>
  <c r="AZ49" i="22" s="1"/>
  <c r="AZ50" i="22" s="1"/>
  <c r="AX42" i="22"/>
  <c r="AX41" i="22"/>
  <c r="AX48" i="22" s="1"/>
  <c r="AX49" i="22" s="1"/>
  <c r="AX50" i="22" s="1"/>
  <c r="AV42" i="22"/>
  <c r="AV41" i="22"/>
  <c r="AV48" i="22" s="1"/>
  <c r="AV49" i="22" s="1"/>
  <c r="AV50" i="22" s="1"/>
  <c r="AR42" i="22"/>
  <c r="AR41" i="22"/>
  <c r="AR48" i="22" s="1"/>
  <c r="AR49" i="22" s="1"/>
  <c r="AR50" i="22" s="1"/>
  <c r="AN41" i="22"/>
  <c r="AN48" i="22" s="1"/>
  <c r="AN49" i="22" s="1"/>
  <c r="AN50" i="22" s="1"/>
  <c r="AN42" i="22"/>
  <c r="AJ42" i="22"/>
  <c r="AJ41" i="22"/>
  <c r="AJ48" i="22" s="1"/>
  <c r="AJ49" i="22" s="1"/>
  <c r="AJ50" i="22" s="1"/>
  <c r="AJ51" i="22" s="1"/>
  <c r="AI54" i="22"/>
  <c r="AI55" i="22" s="1"/>
  <c r="AI45" i="22"/>
  <c r="BH179" i="27"/>
  <c r="BH181" i="27" s="1"/>
  <c r="AE84" i="22"/>
  <c r="BA41" i="17"/>
  <c r="BA39" i="17"/>
  <c r="BA40" i="17"/>
  <c r="AW42" i="22"/>
  <c r="AW41" i="22"/>
  <c r="AW48" i="22" s="1"/>
  <c r="AW49" i="22" s="1"/>
  <c r="AW50" i="22" s="1"/>
  <c r="AU41" i="22"/>
  <c r="AU48" i="22" s="1"/>
  <c r="AU49" i="22" s="1"/>
  <c r="AU50" i="22" s="1"/>
  <c r="AU42" i="22"/>
  <c r="AM42" i="22"/>
  <c r="AM41" i="22"/>
  <c r="AM48" i="22" s="1"/>
  <c r="AM49" i="22" s="1"/>
  <c r="AM50" i="22" s="1"/>
  <c r="BF71" i="11"/>
  <c r="AE87" i="22"/>
  <c r="AD89" i="22"/>
  <c r="AD90" i="22" s="1"/>
  <c r="AH56" i="22"/>
  <c r="AH57" i="22" s="1"/>
  <c r="AH67" i="22" s="1"/>
  <c r="AH66" i="22"/>
  <c r="BK170" i="27" s="1"/>
  <c r="BC41" i="17"/>
  <c r="BC39" i="17"/>
  <c r="BC40" i="17"/>
  <c r="BA41" i="22"/>
  <c r="BA48" i="22" s="1"/>
  <c r="BA49" i="22" s="1"/>
  <c r="BA50" i="22" s="1"/>
  <c r="BA42" i="22"/>
  <c r="AY42" i="22"/>
  <c r="AY41" i="22"/>
  <c r="AY48" i="22" s="1"/>
  <c r="AY49" i="22" s="1"/>
  <c r="AY50" i="22" s="1"/>
  <c r="AW39" i="17"/>
  <c r="AW40" i="17"/>
  <c r="AW41" i="17"/>
  <c r="AT41" i="22"/>
  <c r="AT48" i="22" s="1"/>
  <c r="AT49" i="22" s="1"/>
  <c r="AT50" i="22" s="1"/>
  <c r="AT42" i="22"/>
  <c r="AP41" i="22"/>
  <c r="AP48" i="22" s="1"/>
  <c r="AP49" i="22" s="1"/>
  <c r="AP50" i="22" s="1"/>
  <c r="AP42" i="22"/>
  <c r="AL42" i="22"/>
  <c r="AL41" i="22"/>
  <c r="AL48" i="22" s="1"/>
  <c r="AL49" i="22" s="1"/>
  <c r="AL50" i="22" s="1"/>
  <c r="P47" i="18"/>
  <c r="P42" i="18"/>
  <c r="BJ173" i="27"/>
  <c r="BJ175" i="27" s="1"/>
  <c r="AG68" i="22"/>
  <c r="AG69" i="22"/>
  <c r="BH49" i="11"/>
  <c r="AG81" i="22"/>
  <c r="AG76" i="22"/>
  <c r="AG77" i="22" s="1"/>
  <c r="BC42" i="22"/>
  <c r="BC41" i="22"/>
  <c r="BC48" i="22" s="1"/>
  <c r="BC49" i="22" s="1"/>
  <c r="BC50" i="22" s="1"/>
  <c r="AY41" i="17"/>
  <c r="AY40" i="17"/>
  <c r="AY39" i="17"/>
  <c r="AQ42" i="22"/>
  <c r="AQ41" i="22"/>
  <c r="AQ48" i="22" s="1"/>
  <c r="AQ49" i="22" s="1"/>
  <c r="AQ50" i="22" s="1"/>
  <c r="R73" i="18"/>
  <c r="R74" i="18" s="1"/>
  <c r="S71" i="18"/>
  <c r="AF82" i="22"/>
  <c r="AF83" i="22" s="1"/>
  <c r="AF78" i="22"/>
  <c r="BG83" i="11" s="1"/>
  <c r="BG60" i="11"/>
  <c r="BG71" i="11" s="1"/>
  <c r="BI176" i="27"/>
  <c r="BI178" i="27" s="1"/>
  <c r="BD42" i="22"/>
  <c r="BD41" i="22"/>
  <c r="BD48" i="22" s="1"/>
  <c r="BD49" i="22" s="1"/>
  <c r="BD50" i="22" s="1"/>
  <c r="BB39" i="17"/>
  <c r="BB40" i="17"/>
  <c r="BB41" i="17"/>
  <c r="AZ41" i="17"/>
  <c r="AZ39" i="17"/>
  <c r="AZ40" i="17"/>
  <c r="AX40" i="17"/>
  <c r="AX39" i="17"/>
  <c r="AX41" i="17"/>
  <c r="AV39" i="17"/>
  <c r="AV40" i="17"/>
  <c r="AV41" i="17"/>
  <c r="AS42" i="22"/>
  <c r="AS41" i="22"/>
  <c r="AS48" i="22" s="1"/>
  <c r="AS49" i="22" s="1"/>
  <c r="AS50" i="22" s="1"/>
  <c r="AO42" i="22"/>
  <c r="AO41" i="22"/>
  <c r="AO48" i="22" s="1"/>
  <c r="AO49" i="22" s="1"/>
  <c r="AO50" i="22" s="1"/>
  <c r="AK42" i="22"/>
  <c r="AK41" i="22"/>
  <c r="AK48" i="22" s="1"/>
  <c r="AK49" i="22" s="1"/>
  <c r="AK50" i="22" s="1"/>
  <c r="O62" i="18"/>
  <c r="AP82" i="11" s="1"/>
  <c r="O66" i="18"/>
  <c r="AH59" i="11" s="1"/>
  <c r="AH70" i="11" s="1"/>
  <c r="BB46" i="31"/>
  <c r="BB49" i="31" s="1"/>
  <c r="BB52" i="31" s="1"/>
  <c r="BB60" i="31" s="1"/>
  <c r="BB61" i="31" s="1"/>
  <c r="BC43" i="31"/>
  <c r="BC42" i="31"/>
  <c r="BC40" i="31"/>
  <c r="BC44" i="31"/>
  <c r="BC45" i="31"/>
  <c r="BC41" i="31"/>
  <c r="BD41" i="31"/>
  <c r="BD45" i="31"/>
  <c r="BD43" i="31"/>
  <c r="BD42" i="31"/>
  <c r="BD44" i="31"/>
  <c r="BD40" i="31"/>
  <c r="BA60" i="31"/>
  <c r="BA61" i="31" s="1"/>
  <c r="BA72" i="31"/>
  <c r="BA65" i="31"/>
  <c r="BA53" i="31"/>
  <c r="AZ62" i="31"/>
  <c r="AZ66" i="31"/>
  <c r="AZ67" i="31" s="1"/>
  <c r="AZ68" i="31" s="1"/>
  <c r="BA71" i="31"/>
  <c r="AZ73" i="31"/>
  <c r="AZ74" i="31" s="1"/>
  <c r="BH47" i="27"/>
  <c r="BH49" i="27" s="1"/>
  <c r="BI44" i="27"/>
  <c r="BI46" i="27" s="1"/>
  <c r="BC63" i="22"/>
  <c r="BC81" i="29"/>
  <c r="BC82" i="29" s="1"/>
  <c r="BD80" i="29"/>
  <c r="BD76" i="29"/>
  <c r="BD86" i="29"/>
  <c r="BD79" i="29"/>
  <c r="BD67" i="29"/>
  <c r="BC87" i="29"/>
  <c r="BC88" i="29" s="1"/>
  <c r="BD85" i="29"/>
  <c r="AM143" i="27"/>
  <c r="AM145" i="27" s="1"/>
  <c r="AK48" i="11"/>
  <c r="M4" i="11"/>
  <c r="F4" i="11" s="1"/>
  <c r="BL41" i="27"/>
  <c r="BL43" i="27" s="1"/>
  <c r="BH55" i="11"/>
  <c r="BG66" i="11"/>
  <c r="K25" i="8"/>
  <c r="AU66" i="16" l="1"/>
  <c r="AU61" i="16"/>
  <c r="AU62" i="16" s="1"/>
  <c r="AU67" i="16" s="1"/>
  <c r="AU68" i="16" s="1"/>
  <c r="BJ46" i="11"/>
  <c r="AQ74" i="16"/>
  <c r="AQ75" i="16" s="1"/>
  <c r="AR72" i="16"/>
  <c r="AR68" i="16"/>
  <c r="BH80" i="27" s="1"/>
  <c r="BH82" i="27" s="1"/>
  <c r="AT66" i="16"/>
  <c r="BJ74" i="27"/>
  <c r="BJ76" i="27" s="1"/>
  <c r="AT61" i="16"/>
  <c r="AT62" i="16" s="1"/>
  <c r="AT73" i="16"/>
  <c r="BF68" i="11"/>
  <c r="AS67" i="16"/>
  <c r="BJ57" i="11" s="1"/>
  <c r="AS63" i="16"/>
  <c r="BG80" i="11" s="1"/>
  <c r="BI77" i="27"/>
  <c r="BI79" i="27" s="1"/>
  <c r="BG80" i="27"/>
  <c r="BG82" i="27" s="1"/>
  <c r="AQ69" i="16"/>
  <c r="BI46" i="11"/>
  <c r="BL77" i="27"/>
  <c r="BL79" i="27" s="1"/>
  <c r="BK77" i="27"/>
  <c r="BK79" i="27" s="1"/>
  <c r="BB54" i="22"/>
  <c r="BB55" i="22" s="1"/>
  <c r="BB45" i="22"/>
  <c r="AK51" i="22"/>
  <c r="AL51" i="22" s="1"/>
  <c r="AM51" i="22" s="1"/>
  <c r="AN51" i="22" s="1"/>
  <c r="AO51" i="22" s="1"/>
  <c r="AP51" i="22" s="1"/>
  <c r="AQ51" i="22" s="1"/>
  <c r="AR51" i="22" s="1"/>
  <c r="AS51" i="22" s="1"/>
  <c r="AT51" i="22" s="1"/>
  <c r="AU51" i="22" s="1"/>
  <c r="AV51" i="22" s="1"/>
  <c r="AW51" i="22" s="1"/>
  <c r="AX51" i="22" s="1"/>
  <c r="AY51" i="22" s="1"/>
  <c r="AZ51" i="22" s="1"/>
  <c r="BA51" i="22" s="1"/>
  <c r="BB51" i="22" s="1"/>
  <c r="BC51" i="22" s="1"/>
  <c r="BD51" i="22" s="1"/>
  <c r="T71" i="18"/>
  <c r="S73" i="18"/>
  <c r="S74" i="18" s="1"/>
  <c r="AL54" i="22"/>
  <c r="AL55" i="22" s="1"/>
  <c r="AL45" i="22"/>
  <c r="AH68" i="22"/>
  <c r="AH69" i="22"/>
  <c r="BK173" i="27"/>
  <c r="BK175" i="27" s="1"/>
  <c r="AH76" i="22"/>
  <c r="AH77" i="22" s="1"/>
  <c r="AH81" i="22"/>
  <c r="BI49" i="11"/>
  <c r="AI56" i="22"/>
  <c r="AI57" i="22" s="1"/>
  <c r="AI67" i="22" s="1"/>
  <c r="AI66" i="22"/>
  <c r="BL170" i="27" s="1"/>
  <c r="AJ54" i="22"/>
  <c r="AJ55" i="22" s="1"/>
  <c r="AJ45" i="22"/>
  <c r="AR54" i="22"/>
  <c r="AR55" i="22" s="1"/>
  <c r="AR45" i="22"/>
  <c r="AX54" i="22"/>
  <c r="AX55" i="22" s="1"/>
  <c r="AX45" i="22"/>
  <c r="AO54" i="22"/>
  <c r="AO55" i="22" s="1"/>
  <c r="AO45" i="22"/>
  <c r="BD54" i="22"/>
  <c r="BD55" i="22" s="1"/>
  <c r="BD45" i="22"/>
  <c r="BI57" i="11"/>
  <c r="AK54" i="22"/>
  <c r="AK55" i="22" s="1"/>
  <c r="AK45" i="22"/>
  <c r="AS54" i="22"/>
  <c r="AS55" i="22" s="1"/>
  <c r="AS45" i="22"/>
  <c r="AQ54" i="22"/>
  <c r="AQ55" i="22" s="1"/>
  <c r="AQ45" i="22"/>
  <c r="P43" i="18"/>
  <c r="AK137" i="27" s="1"/>
  <c r="P48" i="18"/>
  <c r="P49" i="18" s="1"/>
  <c r="P52" i="18" s="1"/>
  <c r="Q40" i="18"/>
  <c r="AP54" i="22"/>
  <c r="AP55" i="22" s="1"/>
  <c r="AP45" i="22"/>
  <c r="AY54" i="22"/>
  <c r="AY55" i="22" s="1"/>
  <c r="AY45" i="22"/>
  <c r="AM54" i="22"/>
  <c r="AM55" i="22" s="1"/>
  <c r="AM45" i="22"/>
  <c r="AW54" i="22"/>
  <c r="AW55" i="22" s="1"/>
  <c r="AW45" i="22"/>
  <c r="O67" i="18"/>
  <c r="O68" i="18" s="1"/>
  <c r="AN54" i="22"/>
  <c r="AN55" i="22" s="1"/>
  <c r="AN45" i="22"/>
  <c r="BI179" i="27"/>
  <c r="BI181" i="27" s="1"/>
  <c r="AF84" i="22"/>
  <c r="BH60" i="11"/>
  <c r="BH71" i="11" s="1"/>
  <c r="AG78" i="22"/>
  <c r="BH83" i="11" s="1"/>
  <c r="BJ176" i="27"/>
  <c r="BJ178" i="27" s="1"/>
  <c r="AG82" i="22"/>
  <c r="AG83" i="22" s="1"/>
  <c r="AT54" i="22"/>
  <c r="AT55" i="22" s="1"/>
  <c r="AT45" i="22"/>
  <c r="BC54" i="22"/>
  <c r="BC55" i="22" s="1"/>
  <c r="BC45" i="22"/>
  <c r="BA54" i="22"/>
  <c r="BA55" i="22" s="1"/>
  <c r="BA45" i="22"/>
  <c r="AF87" i="22"/>
  <c r="AE89" i="22"/>
  <c r="AE90" i="22" s="1"/>
  <c r="AU54" i="22"/>
  <c r="AU55" i="22" s="1"/>
  <c r="AU45" i="22"/>
  <c r="BI80" i="11"/>
  <c r="BJ80" i="11"/>
  <c r="AV54" i="22"/>
  <c r="AV55" i="22" s="1"/>
  <c r="AV45" i="22"/>
  <c r="AZ54" i="22"/>
  <c r="AZ55" i="22" s="1"/>
  <c r="AZ45" i="22"/>
  <c r="BB65" i="31"/>
  <c r="BB72" i="31"/>
  <c r="BB53" i="31"/>
  <c r="BB71" i="31"/>
  <c r="BA73" i="31"/>
  <c r="BA74" i="31" s="1"/>
  <c r="BC46" i="31"/>
  <c r="BC49" i="31" s="1"/>
  <c r="BC52" i="31" s="1"/>
  <c r="BA66" i="31"/>
  <c r="BA67" i="31" s="1"/>
  <c r="BA68" i="31" s="1"/>
  <c r="BA62" i="31"/>
  <c r="BB66" i="31"/>
  <c r="BB62" i="31"/>
  <c r="BD46" i="31"/>
  <c r="BD49" i="31" s="1"/>
  <c r="BD52" i="31" s="1"/>
  <c r="BI47" i="27"/>
  <c r="BI49" i="27" s="1"/>
  <c r="BJ44" i="27"/>
  <c r="BJ46" i="27" s="1"/>
  <c r="BD63" i="22"/>
  <c r="BD87" i="29"/>
  <c r="BD88" i="29" s="1"/>
  <c r="BD81" i="29"/>
  <c r="BD82" i="29" s="1"/>
  <c r="BI55" i="11"/>
  <c r="BH66" i="11"/>
  <c r="BJ68" i="11" l="1"/>
  <c r="AU63" i="16"/>
  <c r="AR69" i="16"/>
  <c r="AR74" i="16"/>
  <c r="AR75" i="16" s="1"/>
  <c r="AS72" i="16"/>
  <c r="AS68" i="16"/>
  <c r="BG57" i="11"/>
  <c r="BG68" i="11" s="1"/>
  <c r="BH46" i="11"/>
  <c r="AT67" i="16"/>
  <c r="BH57" i="11" s="1"/>
  <c r="AT63" i="16"/>
  <c r="BH80" i="11" s="1"/>
  <c r="F92" i="11" s="1"/>
  <c r="BJ77" i="27"/>
  <c r="BJ79" i="27" s="1"/>
  <c r="BI68" i="11"/>
  <c r="AX56" i="22"/>
  <c r="AX66" i="22"/>
  <c r="AZ56" i="22"/>
  <c r="AZ66" i="22"/>
  <c r="AG87" i="22"/>
  <c r="AF89" i="22"/>
  <c r="AF90" i="22" s="1"/>
  <c r="AT56" i="22"/>
  <c r="AT66" i="22"/>
  <c r="AU69" i="16"/>
  <c r="BL80" i="27"/>
  <c r="BL82" i="27" s="1"/>
  <c r="BK80" i="27"/>
  <c r="BK82" i="27" s="1"/>
  <c r="AP56" i="22"/>
  <c r="AP66" i="22"/>
  <c r="AS56" i="22"/>
  <c r="AS66" i="22"/>
  <c r="AO56" i="22"/>
  <c r="AO66" i="22"/>
  <c r="U71" i="18"/>
  <c r="T73" i="18"/>
  <c r="T74" i="18" s="1"/>
  <c r="AU56" i="22"/>
  <c r="AU66" i="22"/>
  <c r="BC56" i="22"/>
  <c r="BC66" i="22"/>
  <c r="AG84" i="22"/>
  <c r="BJ179" i="27"/>
  <c r="BJ181" i="27" s="1"/>
  <c r="AW56" i="22"/>
  <c r="AW66" i="22"/>
  <c r="Q41" i="18"/>
  <c r="Q46" i="18"/>
  <c r="AR56" i="22"/>
  <c r="AR66" i="22"/>
  <c r="BL173" i="27"/>
  <c r="BL175" i="27" s="1"/>
  <c r="AI76" i="22"/>
  <c r="AI77" i="22" s="1"/>
  <c r="AI69" i="22"/>
  <c r="AI68" i="22"/>
  <c r="BJ49" i="11"/>
  <c r="M29" i="11" s="1"/>
  <c r="AI81" i="22"/>
  <c r="AL56" i="22"/>
  <c r="AL66" i="22"/>
  <c r="BB56" i="22"/>
  <c r="BB66" i="22"/>
  <c r="AM56" i="22"/>
  <c r="AM66" i="22"/>
  <c r="AJ56" i="22"/>
  <c r="AJ57" i="22" s="1"/>
  <c r="AJ67" i="22" s="1"/>
  <c r="AJ66" i="22"/>
  <c r="AV56" i="22"/>
  <c r="AV66" i="22"/>
  <c r="BA56" i="22"/>
  <c r="BA66" i="22"/>
  <c r="AN56" i="22"/>
  <c r="AN66" i="22"/>
  <c r="AY56" i="22"/>
  <c r="AY66" i="22"/>
  <c r="P60" i="18"/>
  <c r="P61" i="18" s="1"/>
  <c r="P53" i="18"/>
  <c r="P65" i="18"/>
  <c r="AQ56" i="22"/>
  <c r="AQ66" i="22"/>
  <c r="AK56" i="22"/>
  <c r="AK66" i="22"/>
  <c r="BD56" i="22"/>
  <c r="BD66" i="22"/>
  <c r="BI60" i="11"/>
  <c r="BI71" i="11" s="1"/>
  <c r="BK176" i="27"/>
  <c r="BK178" i="27" s="1"/>
  <c r="AH78" i="22"/>
  <c r="BI83" i="11" s="1"/>
  <c r="AH82" i="22"/>
  <c r="AH83" i="22" s="1"/>
  <c r="BB67" i="31"/>
  <c r="BB68" i="31" s="1"/>
  <c r="BC60" i="31"/>
  <c r="BC61" i="31" s="1"/>
  <c r="BC72" i="31"/>
  <c r="BC53" i="31"/>
  <c r="BC65" i="31"/>
  <c r="BD60" i="31"/>
  <c r="BD61" i="31" s="1"/>
  <c r="BD72" i="31"/>
  <c r="BD53" i="31"/>
  <c r="BD65" i="31"/>
  <c r="BB73" i="31"/>
  <c r="BB74" i="31" s="1"/>
  <c r="BC71" i="31"/>
  <c r="BJ47" i="27"/>
  <c r="BJ49" i="27" s="1"/>
  <c r="BK44" i="27"/>
  <c r="BK46" i="27" s="1"/>
  <c r="AM146" i="27"/>
  <c r="AM148" i="27" s="1"/>
  <c r="AN140" i="27"/>
  <c r="AN142" i="27" s="1"/>
  <c r="BJ55" i="11"/>
  <c r="BI66" i="11"/>
  <c r="AT72" i="16" l="1"/>
  <c r="AS74" i="16"/>
  <c r="AS75" i="16" s="1"/>
  <c r="M15" i="11"/>
  <c r="F17" i="11" s="1"/>
  <c r="AT68" i="16"/>
  <c r="BJ80" i="27" s="1"/>
  <c r="BJ82" i="27" s="1"/>
  <c r="BH68" i="11"/>
  <c r="M14" i="11"/>
  <c r="F6" i="11" s="1"/>
  <c r="AS69" i="16"/>
  <c r="BI80" i="27"/>
  <c r="BI82" i="27" s="1"/>
  <c r="AK57" i="22"/>
  <c r="AK67" i="22" s="1"/>
  <c r="AK81" i="22" s="1"/>
  <c r="BK179" i="27"/>
  <c r="BK181" i="27" s="1"/>
  <c r="AH84" i="22"/>
  <c r="V71" i="18"/>
  <c r="U73" i="18"/>
  <c r="U74" i="18" s="1"/>
  <c r="P62" i="18"/>
  <c r="AQ82" i="11" s="1"/>
  <c r="P66" i="18"/>
  <c r="AI59" i="11" s="1"/>
  <c r="AI70" i="11" s="1"/>
  <c r="AJ69" i="22"/>
  <c r="AJ81" i="22"/>
  <c r="AJ76" i="22"/>
  <c r="AJ77" i="22" s="1"/>
  <c r="AJ68" i="22"/>
  <c r="BL176" i="27"/>
  <c r="BL178" i="27" s="1"/>
  <c r="AI78" i="22"/>
  <c r="BJ83" i="11" s="1"/>
  <c r="F95" i="11" s="1"/>
  <c r="BJ60" i="11"/>
  <c r="AI82" i="22"/>
  <c r="AI83" i="22" s="1"/>
  <c r="AG89" i="22"/>
  <c r="AG90" i="22" s="1"/>
  <c r="AH87" i="22"/>
  <c r="AK68" i="22"/>
  <c r="F9" i="11"/>
  <c r="Q42" i="18"/>
  <c r="Q47" i="18"/>
  <c r="BC73" i="31"/>
  <c r="BC74" i="31" s="1"/>
  <c r="BD71" i="31"/>
  <c r="BD73" i="31" s="1"/>
  <c r="BD66" i="31"/>
  <c r="BD67" i="31" s="1"/>
  <c r="BD68" i="31" s="1"/>
  <c r="BD62" i="31"/>
  <c r="BC66" i="31"/>
  <c r="BC67" i="31" s="1"/>
  <c r="BC68" i="31" s="1"/>
  <c r="BC62" i="31"/>
  <c r="BK47" i="27"/>
  <c r="BK49" i="27" s="1"/>
  <c r="BL44" i="27"/>
  <c r="BL46" i="27" s="1"/>
  <c r="AN143" i="27"/>
  <c r="AN145" i="27" s="1"/>
  <c r="AL48" i="11"/>
  <c r="BJ66" i="11"/>
  <c r="M5" i="11"/>
  <c r="AT69" i="16" l="1"/>
  <c r="AU72" i="16"/>
  <c r="AU74" i="16" s="1"/>
  <c r="AT74" i="16"/>
  <c r="AT75" i="16" s="1"/>
  <c r="M16" i="11"/>
  <c r="F28" i="11" s="1"/>
  <c r="P67" i="18"/>
  <c r="P68" i="18" s="1"/>
  <c r="AK69" i="22"/>
  <c r="AL57" i="22"/>
  <c r="AL67" i="22" s="1"/>
  <c r="AL68" i="22" s="1"/>
  <c r="AK76" i="22"/>
  <c r="AK77" i="22" s="1"/>
  <c r="AK78" i="22" s="1"/>
  <c r="R40" i="18"/>
  <c r="Q48" i="18"/>
  <c r="Q49" i="18" s="1"/>
  <c r="Q52" i="18" s="1"/>
  <c r="Q43" i="18"/>
  <c r="AL137" i="27" s="1"/>
  <c r="AI87" i="22"/>
  <c r="AH89" i="22"/>
  <c r="AH90" i="22" s="1"/>
  <c r="AK146" i="27"/>
  <c r="AK148" i="27" s="1"/>
  <c r="BL179" i="27"/>
  <c r="BL181" i="27" s="1"/>
  <c r="AI84" i="22"/>
  <c r="BJ71" i="11"/>
  <c r="M30" i="11"/>
  <c r="AJ82" i="22"/>
  <c r="AJ83" i="22" s="1"/>
  <c r="AJ84" i="22" s="1"/>
  <c r="AJ78" i="22"/>
  <c r="W71" i="18"/>
  <c r="V73" i="18"/>
  <c r="V74" i="18" s="1"/>
  <c r="AL69" i="22"/>
  <c r="BD74" i="31"/>
  <c r="BL47" i="27"/>
  <c r="BL49" i="27" s="1"/>
  <c r="AN146" i="27"/>
  <c r="AN148" i="27" s="1"/>
  <c r="K24" i="11"/>
  <c r="F15" i="11"/>
  <c r="M6" i="11"/>
  <c r="F26" i="11" s="1"/>
  <c r="AU75" i="16" l="1"/>
  <c r="AL76" i="22"/>
  <c r="AL77" i="22" s="1"/>
  <c r="AL82" i="22" s="1"/>
  <c r="AM57" i="22"/>
  <c r="AM67" i="22" s="1"/>
  <c r="AK82" i="22"/>
  <c r="AK83" i="22" s="1"/>
  <c r="AK84" i="22" s="1"/>
  <c r="AL81" i="22"/>
  <c r="AN57" i="22"/>
  <c r="AI89" i="22"/>
  <c r="AI90" i="22" s="1"/>
  <c r="AJ87" i="22"/>
  <c r="F20" i="11"/>
  <c r="M31" i="11"/>
  <c r="F31" i="11" s="1"/>
  <c r="Q60" i="18"/>
  <c r="Q61" i="18" s="1"/>
  <c r="Q53" i="18"/>
  <c r="Q65" i="18"/>
  <c r="X71" i="18"/>
  <c r="W73" i="18"/>
  <c r="W74" i="18" s="1"/>
  <c r="R41" i="18"/>
  <c r="R46" i="18"/>
  <c r="D8" i="11"/>
  <c r="AO140" i="27"/>
  <c r="AO142" i="27" s="1"/>
  <c r="AL78" i="22" l="1"/>
  <c r="AL83" i="22"/>
  <c r="AL84" i="22" s="1"/>
  <c r="X73" i="18"/>
  <c r="X74" i="18" s="1"/>
  <c r="Y71" i="18"/>
  <c r="AJ89" i="22"/>
  <c r="AJ90" i="22" s="1"/>
  <c r="AK87" i="22"/>
  <c r="Q62" i="18"/>
  <c r="AR82" i="11" s="1"/>
  <c r="Q66" i="18"/>
  <c r="AJ59" i="11" s="1"/>
  <c r="AJ70" i="11" s="1"/>
  <c r="R47" i="18"/>
  <c r="R42" i="18"/>
  <c r="AN67" i="22"/>
  <c r="AO57" i="22"/>
  <c r="AM68" i="22"/>
  <c r="AM69" i="22"/>
  <c r="AM81" i="22"/>
  <c r="AM76" i="22"/>
  <c r="AM77" i="22" s="1"/>
  <c r="AO143" i="27"/>
  <c r="AO145" i="27" s="1"/>
  <c r="AM48" i="11"/>
  <c r="AO67" i="22" l="1"/>
  <c r="AP57" i="22"/>
  <c r="R48" i="18"/>
  <c r="R49" i="18" s="1"/>
  <c r="R52" i="18" s="1"/>
  <c r="S40" i="18"/>
  <c r="R43" i="18"/>
  <c r="AM137" i="27" s="1"/>
  <c r="AK89" i="22"/>
  <c r="AK90" i="22" s="1"/>
  <c r="AL87" i="22"/>
  <c r="AM82" i="22"/>
  <c r="AM83" i="22" s="1"/>
  <c r="AM84" i="22" s="1"/>
  <c r="AM78" i="22"/>
  <c r="Q67" i="18"/>
  <c r="Q68" i="18" s="1"/>
  <c r="Y73" i="18"/>
  <c r="B76" i="18" s="1"/>
  <c r="E131" i="27" s="1"/>
  <c r="E133" i="27" s="1"/>
  <c r="Z71" i="18"/>
  <c r="AN81" i="22"/>
  <c r="AN76" i="22"/>
  <c r="AN77" i="22" s="1"/>
  <c r="AN69" i="22"/>
  <c r="AN68" i="22"/>
  <c r="Q110" i="27"/>
  <c r="Q112" i="27" s="1"/>
  <c r="B47" i="17"/>
  <c r="B46" i="17"/>
  <c r="C47" i="17"/>
  <c r="C46" i="17"/>
  <c r="Y74" i="18" l="1"/>
  <c r="AA71" i="18"/>
  <c r="Z73" i="18"/>
  <c r="S41" i="18"/>
  <c r="S46" i="18"/>
  <c r="AL89" i="22"/>
  <c r="AL90" i="22" s="1"/>
  <c r="AM87" i="22"/>
  <c r="R53" i="18"/>
  <c r="R65" i="18"/>
  <c r="R60" i="18"/>
  <c r="R61" i="18" s="1"/>
  <c r="AN78" i="22"/>
  <c r="AN82" i="22"/>
  <c r="AN83" i="22" s="1"/>
  <c r="AN84" i="22" s="1"/>
  <c r="AP67" i="22"/>
  <c r="AQ57" i="22"/>
  <c r="B77" i="18"/>
  <c r="E134" i="27" s="1"/>
  <c r="E136" i="27" s="1"/>
  <c r="E139" i="27" s="1"/>
  <c r="AO68" i="22"/>
  <c r="AO81" i="22"/>
  <c r="AO76" i="22"/>
  <c r="AO77" i="22" s="1"/>
  <c r="AO69" i="22"/>
  <c r="O58" i="11"/>
  <c r="O63" i="11" s="1"/>
  <c r="AP140" i="27"/>
  <c r="AP142" i="27" s="1"/>
  <c r="C45" i="17"/>
  <c r="C48" i="17" s="1"/>
  <c r="C51" i="17" s="1"/>
  <c r="C53" i="17" s="1"/>
  <c r="C60" i="17" s="1"/>
  <c r="C42" i="17"/>
  <c r="B45" i="17"/>
  <c r="B48" i="17" s="1"/>
  <c r="B51" i="17" s="1"/>
  <c r="B53" i="17" s="1"/>
  <c r="B60" i="17" s="1"/>
  <c r="B42" i="17"/>
  <c r="Z74" i="18" l="1"/>
  <c r="AO82" i="22"/>
  <c r="AO83" i="22" s="1"/>
  <c r="AO84" i="22" s="1"/>
  <c r="AO78" i="22"/>
  <c r="AP81" i="22"/>
  <c r="AP76" i="22"/>
  <c r="AP77" i="22" s="1"/>
  <c r="AP68" i="22"/>
  <c r="AP69" i="22"/>
  <c r="S42" i="18"/>
  <c r="S47" i="18"/>
  <c r="AN87" i="22"/>
  <c r="AM89" i="22"/>
  <c r="AM90" i="22" s="1"/>
  <c r="AQ67" i="22"/>
  <c r="AR57" i="22"/>
  <c r="R62" i="18"/>
  <c r="AS82" i="11" s="1"/>
  <c r="R66" i="18"/>
  <c r="AK59" i="11" s="1"/>
  <c r="AK70" i="11" s="1"/>
  <c r="AA73" i="18"/>
  <c r="AA74" i="18" s="1"/>
  <c r="AB71" i="18"/>
  <c r="D47" i="17"/>
  <c r="D46" i="17"/>
  <c r="N107" i="27"/>
  <c r="N109" i="27" s="1"/>
  <c r="R107" i="27"/>
  <c r="R109" i="27" s="1"/>
  <c r="S107" i="27"/>
  <c r="S109" i="27" s="1"/>
  <c r="T104" i="27"/>
  <c r="N104" i="27"/>
  <c r="R104" i="27"/>
  <c r="S104" i="27"/>
  <c r="T107" i="27"/>
  <c r="T109" i="27" s="1"/>
  <c r="Q113" i="27"/>
  <c r="Q115" i="27" s="1"/>
  <c r="O69" i="11"/>
  <c r="O74" i="11" s="1"/>
  <c r="O104" i="27"/>
  <c r="P104" i="27"/>
  <c r="O107" i="27"/>
  <c r="O109" i="27" s="1"/>
  <c r="P107" i="27"/>
  <c r="P109" i="27" s="1"/>
  <c r="AP143" i="27"/>
  <c r="AP145" i="27" s="1"/>
  <c r="AN48" i="11"/>
  <c r="B52" i="17"/>
  <c r="B66" i="17"/>
  <c r="B61" i="17"/>
  <c r="B62" i="17" s="1"/>
  <c r="B63" i="17" s="1"/>
  <c r="C66" i="17"/>
  <c r="C61" i="17"/>
  <c r="C62" i="17" s="1"/>
  <c r="C63" i="17" s="1"/>
  <c r="C52" i="17"/>
  <c r="AN89" i="22" l="1"/>
  <c r="AN90" i="22" s="1"/>
  <c r="AO87" i="22"/>
  <c r="R67" i="18"/>
  <c r="R68" i="18" s="1"/>
  <c r="AC71" i="18"/>
  <c r="AB73" i="18"/>
  <c r="AB74" i="18" s="1"/>
  <c r="AR67" i="22"/>
  <c r="AS57" i="22"/>
  <c r="AQ68" i="22"/>
  <c r="AQ76" i="22"/>
  <c r="AQ77" i="22" s="1"/>
  <c r="AQ69" i="22"/>
  <c r="AQ81" i="22"/>
  <c r="S48" i="18"/>
  <c r="S49" i="18" s="1"/>
  <c r="S52" i="18" s="1"/>
  <c r="S43" i="18"/>
  <c r="AN137" i="27" s="1"/>
  <c r="T40" i="18"/>
  <c r="AP82" i="22"/>
  <c r="AP83" i="22" s="1"/>
  <c r="AP84" i="22" s="1"/>
  <c r="AP78" i="22"/>
  <c r="P81" i="11"/>
  <c r="P86" i="11" s="1"/>
  <c r="Q81" i="11"/>
  <c r="Q86" i="11" s="1"/>
  <c r="R81" i="11"/>
  <c r="R86" i="11" s="1"/>
  <c r="D45" i="17"/>
  <c r="D48" i="17" s="1"/>
  <c r="D51" i="17" s="1"/>
  <c r="D53" i="17" s="1"/>
  <c r="D60" i="17" s="1"/>
  <c r="D42" i="17"/>
  <c r="Q104" i="27" s="1"/>
  <c r="E47" i="17"/>
  <c r="E46" i="17"/>
  <c r="O75" i="11"/>
  <c r="R110" i="27"/>
  <c r="R112" i="27" s="1"/>
  <c r="S110" i="27"/>
  <c r="S112" i="27" s="1"/>
  <c r="B67" i="17"/>
  <c r="N110" i="27"/>
  <c r="N112" i="27" s="1"/>
  <c r="T110" i="27"/>
  <c r="T112" i="27" s="1"/>
  <c r="C67" i="17"/>
  <c r="M58" i="11" s="1"/>
  <c r="M63" i="11" s="1"/>
  <c r="O110" i="27"/>
  <c r="O112" i="27" s="1"/>
  <c r="P110" i="27"/>
  <c r="P112" i="27" s="1"/>
  <c r="L58" i="11"/>
  <c r="L63" i="11" s="1"/>
  <c r="B73" i="17"/>
  <c r="C73" i="17"/>
  <c r="AS67" i="22" l="1"/>
  <c r="AT57" i="22"/>
  <c r="T46" i="18"/>
  <c r="T41" i="18"/>
  <c r="AR68" i="22"/>
  <c r="AR76" i="22"/>
  <c r="AR77" i="22" s="1"/>
  <c r="AR69" i="22"/>
  <c r="AR81" i="22"/>
  <c r="AO89" i="22"/>
  <c r="AO90" i="22" s="1"/>
  <c r="AP87" i="22"/>
  <c r="AQ82" i="22"/>
  <c r="AQ83" i="22" s="1"/>
  <c r="AQ84" i="22" s="1"/>
  <c r="AQ78" i="22"/>
  <c r="S65" i="18"/>
  <c r="S60" i="18"/>
  <c r="S61" i="18" s="1"/>
  <c r="S53" i="18"/>
  <c r="AD71" i="18"/>
  <c r="AC73" i="18"/>
  <c r="AC74" i="18" s="1"/>
  <c r="E45" i="17"/>
  <c r="E48" i="17" s="1"/>
  <c r="E51" i="17" s="1"/>
  <c r="E53" i="17" s="1"/>
  <c r="E60" i="17" s="1"/>
  <c r="E42" i="17"/>
  <c r="F47" i="17"/>
  <c r="F46" i="17"/>
  <c r="Q107" i="27"/>
  <c r="Q109" i="27" s="1"/>
  <c r="D61" i="17"/>
  <c r="D62" i="17" s="1"/>
  <c r="D66" i="17"/>
  <c r="D52" i="17"/>
  <c r="B68" i="17"/>
  <c r="B69" i="17" s="1"/>
  <c r="P58" i="11"/>
  <c r="P63" i="11" s="1"/>
  <c r="Q58" i="11"/>
  <c r="Q63" i="11" s="1"/>
  <c r="B72" i="17"/>
  <c r="B74" i="17" s="1"/>
  <c r="B75" i="17" s="1"/>
  <c r="C72" i="17"/>
  <c r="C74" i="17" s="1"/>
  <c r="C68" i="17"/>
  <c r="T113" i="27" s="1"/>
  <c r="T115" i="27" s="1"/>
  <c r="N113" i="27"/>
  <c r="N115" i="27" s="1"/>
  <c r="N58" i="11"/>
  <c r="N63" i="11" s="1"/>
  <c r="R58" i="11"/>
  <c r="R63" i="11" s="1"/>
  <c r="AQ140" i="27"/>
  <c r="AQ142" i="27" s="1"/>
  <c r="L69" i="11"/>
  <c r="L74" i="11" s="1"/>
  <c r="L5" i="3"/>
  <c r="L22" i="3" s="1"/>
  <c r="M69" i="11"/>
  <c r="M74" i="11" s="1"/>
  <c r="M5" i="3"/>
  <c r="M22" i="3" s="1"/>
  <c r="AS76" i="22" l="1"/>
  <c r="AS77" i="22" s="1"/>
  <c r="AS81" i="22"/>
  <c r="AS69" i="22"/>
  <c r="AS68" i="22"/>
  <c r="S62" i="18"/>
  <c r="AT82" i="11" s="1"/>
  <c r="S66" i="18"/>
  <c r="AL59" i="11" s="1"/>
  <c r="AP89" i="22"/>
  <c r="AP90" i="22" s="1"/>
  <c r="AQ87" i="22"/>
  <c r="AR78" i="22"/>
  <c r="AR82" i="22"/>
  <c r="AR83" i="22" s="1"/>
  <c r="AR84" i="22" s="1"/>
  <c r="AT67" i="22"/>
  <c r="AU57" i="22"/>
  <c r="AD73" i="18"/>
  <c r="AD74" i="18" s="1"/>
  <c r="AE71" i="18"/>
  <c r="T47" i="18"/>
  <c r="T42" i="18"/>
  <c r="D67" i="17"/>
  <c r="D72" i="17" s="1"/>
  <c r="D63" i="17"/>
  <c r="S81" i="11" s="1"/>
  <c r="S86" i="11" s="1"/>
  <c r="U110" i="27"/>
  <c r="U112" i="27" s="1"/>
  <c r="G46" i="17"/>
  <c r="G47" i="17"/>
  <c r="D73" i="17"/>
  <c r="F45" i="17"/>
  <c r="F48" i="17" s="1"/>
  <c r="F51" i="17" s="1"/>
  <c r="F53" i="17" s="1"/>
  <c r="F60" i="17" s="1"/>
  <c r="F42" i="17"/>
  <c r="E52" i="17"/>
  <c r="E66" i="17"/>
  <c r="E61" i="17"/>
  <c r="E62" i="17" s="1"/>
  <c r="M75" i="11"/>
  <c r="L75" i="11"/>
  <c r="R113" i="27"/>
  <c r="R115" i="27" s="1"/>
  <c r="S113" i="27"/>
  <c r="S115" i="27" s="1"/>
  <c r="N69" i="11"/>
  <c r="N74" i="11" s="1"/>
  <c r="AQ143" i="27"/>
  <c r="AQ145" i="27" s="1"/>
  <c r="C69" i="17"/>
  <c r="P113" i="27"/>
  <c r="P115" i="27" s="1"/>
  <c r="O113" i="27"/>
  <c r="O115" i="27" s="1"/>
  <c r="C75" i="17"/>
  <c r="I20" i="11"/>
  <c r="B18" i="11" s="1"/>
  <c r="B23" i="11" s="1"/>
  <c r="AO48" i="11"/>
  <c r="M476" i="1"/>
  <c r="N476" i="1" s="1"/>
  <c r="M473" i="1"/>
  <c r="N473" i="1" s="1"/>
  <c r="M471" i="1"/>
  <c r="N471" i="1" s="1"/>
  <c r="M444" i="1"/>
  <c r="N444" i="1" s="1"/>
  <c r="L26" i="3"/>
  <c r="M460" i="1"/>
  <c r="N460" i="1" s="1"/>
  <c r="M452" i="1"/>
  <c r="N452" i="1" s="1"/>
  <c r="M454" i="1"/>
  <c r="N454" i="1" s="1"/>
  <c r="M474" i="1"/>
  <c r="N474" i="1" s="1"/>
  <c r="M443" i="1"/>
  <c r="M445" i="1"/>
  <c r="N445" i="1" s="1"/>
  <c r="M449" i="1"/>
  <c r="N449" i="1" s="1"/>
  <c r="M461" i="1"/>
  <c r="N461" i="1" s="1"/>
  <c r="M453" i="1"/>
  <c r="N453" i="1" s="1"/>
  <c r="M455" i="1"/>
  <c r="N455" i="1" s="1"/>
  <c r="M475" i="1"/>
  <c r="N475" i="1" s="1"/>
  <c r="M469" i="1"/>
  <c r="N469" i="1" s="1"/>
  <c r="M450" i="1"/>
  <c r="N450" i="1" s="1"/>
  <c r="M447" i="1"/>
  <c r="N447" i="1" s="1"/>
  <c r="M462" i="1"/>
  <c r="N462" i="1" s="1"/>
  <c r="M472" i="1"/>
  <c r="N472" i="1" s="1"/>
  <c r="M470" i="1"/>
  <c r="N470" i="1" s="1"/>
  <c r="M451" i="1"/>
  <c r="N451" i="1" s="1"/>
  <c r="M448" i="1"/>
  <c r="N448" i="1" s="1"/>
  <c r="M446" i="1"/>
  <c r="N446" i="1" s="1"/>
  <c r="M523" i="1"/>
  <c r="N523" i="1" s="1"/>
  <c r="M517" i="1"/>
  <c r="N517" i="1" s="1"/>
  <c r="M516" i="1"/>
  <c r="N516" i="1" s="1"/>
  <c r="M500" i="1"/>
  <c r="N500" i="1" s="1"/>
  <c r="M506" i="1"/>
  <c r="N506" i="1" s="1"/>
  <c r="M495" i="1"/>
  <c r="N495" i="1" s="1"/>
  <c r="M499" i="1"/>
  <c r="N499" i="1" s="1"/>
  <c r="M507" i="1"/>
  <c r="N507" i="1" s="1"/>
  <c r="M505" i="1"/>
  <c r="N505" i="1" s="1"/>
  <c r="M518" i="1"/>
  <c r="N518" i="1" s="1"/>
  <c r="M515" i="1"/>
  <c r="N515" i="1" s="1"/>
  <c r="M491" i="1"/>
  <c r="N491" i="1" s="1"/>
  <c r="M496" i="1"/>
  <c r="N496" i="1" s="1"/>
  <c r="M488" i="1"/>
  <c r="M522" i="1"/>
  <c r="N522" i="1" s="1"/>
  <c r="M514" i="1"/>
  <c r="N514" i="1" s="1"/>
  <c r="M26" i="3"/>
  <c r="M28" i="3" s="1"/>
  <c r="M29" i="3" s="1"/>
  <c r="M494" i="1"/>
  <c r="N494" i="1" s="1"/>
  <c r="M521" i="1"/>
  <c r="N521" i="1" s="1"/>
  <c r="M519" i="1"/>
  <c r="N519" i="1" s="1"/>
  <c r="M489" i="1"/>
  <c r="N489" i="1" s="1"/>
  <c r="M490" i="1"/>
  <c r="N490" i="1" s="1"/>
  <c r="M492" i="1"/>
  <c r="N492" i="1" s="1"/>
  <c r="M493" i="1"/>
  <c r="N493" i="1" s="1"/>
  <c r="M497" i="1"/>
  <c r="N497" i="1" s="1"/>
  <c r="M520" i="1"/>
  <c r="N520" i="1" s="1"/>
  <c r="M498" i="1"/>
  <c r="N498" i="1" s="1"/>
  <c r="K25" i="11" l="1"/>
  <c r="AL70" i="11"/>
  <c r="AS82" i="22"/>
  <c r="AS83" i="22" s="1"/>
  <c r="AS84" i="22" s="1"/>
  <c r="AS78" i="22"/>
  <c r="AF71" i="18"/>
  <c r="AE73" i="18"/>
  <c r="AE74" i="18" s="1"/>
  <c r="T43" i="18"/>
  <c r="AO137" i="27" s="1"/>
  <c r="U40" i="18"/>
  <c r="T48" i="18"/>
  <c r="T49" i="18" s="1"/>
  <c r="T52" i="18" s="1"/>
  <c r="AU67" i="22"/>
  <c r="AV57" i="22"/>
  <c r="AR87" i="22"/>
  <c r="AQ89" i="22"/>
  <c r="AQ90" i="22" s="1"/>
  <c r="S67" i="18"/>
  <c r="S68" i="18" s="1"/>
  <c r="AT76" i="22"/>
  <c r="AT77" i="22" s="1"/>
  <c r="AT81" i="22"/>
  <c r="AT69" i="22"/>
  <c r="AT68" i="22"/>
  <c r="S58" i="11"/>
  <c r="S63" i="11" s="1"/>
  <c r="D68" i="17"/>
  <c r="D69" i="17" s="1"/>
  <c r="D74" i="17"/>
  <c r="D75" i="17" s="1"/>
  <c r="E67" i="17"/>
  <c r="E72" i="17" s="1"/>
  <c r="E63" i="17"/>
  <c r="T81" i="11" s="1"/>
  <c r="T86" i="11" s="1"/>
  <c r="V110" i="27"/>
  <c r="V112" i="27" s="1"/>
  <c r="O4" i="3"/>
  <c r="N5" i="3"/>
  <c r="N22" i="3" s="1"/>
  <c r="M434" i="1" s="1"/>
  <c r="H46" i="17"/>
  <c r="H47" i="17"/>
  <c r="F66" i="17"/>
  <c r="F52" i="17"/>
  <c r="F61" i="17"/>
  <c r="F62" i="17" s="1"/>
  <c r="P47" i="11"/>
  <c r="P52" i="11" s="1"/>
  <c r="E73" i="17"/>
  <c r="G45" i="17"/>
  <c r="G48" i="17" s="1"/>
  <c r="G51" i="17" s="1"/>
  <c r="G53" i="17" s="1"/>
  <c r="G60" i="17" s="1"/>
  <c r="G42" i="17"/>
  <c r="C6" i="7"/>
  <c r="D6" i="7" s="1"/>
  <c r="N75" i="11"/>
  <c r="T58" i="11"/>
  <c r="T63" i="11" s="1"/>
  <c r="I21" i="11"/>
  <c r="B29" i="11" s="1"/>
  <c r="B34" i="11" s="1"/>
  <c r="M4" i="8"/>
  <c r="M7" i="8" s="1"/>
  <c r="M21" i="8" s="1"/>
  <c r="M25" i="6"/>
  <c r="M26" i="6" s="1"/>
  <c r="N488" i="1"/>
  <c r="N443" i="1"/>
  <c r="L28" i="3"/>
  <c r="AT78" i="22" l="1"/>
  <c r="AT82" i="22"/>
  <c r="AT83" i="22" s="1"/>
  <c r="AT84" i="22" s="1"/>
  <c r="AV67" i="22"/>
  <c r="AW57" i="22"/>
  <c r="U113" i="27"/>
  <c r="U115" i="27" s="1"/>
  <c r="AU69" i="22"/>
  <c r="AU81" i="22"/>
  <c r="AU68" i="22"/>
  <c r="AU76" i="22"/>
  <c r="AU77" i="22" s="1"/>
  <c r="T65" i="18"/>
  <c r="T53" i="18"/>
  <c r="T60" i="18"/>
  <c r="T61" i="18" s="1"/>
  <c r="AF73" i="18"/>
  <c r="AF74" i="18" s="1"/>
  <c r="AG71" i="18"/>
  <c r="D19" i="11"/>
  <c r="K26" i="11"/>
  <c r="D30" i="11" s="1"/>
  <c r="AS87" i="22"/>
  <c r="AR89" i="22"/>
  <c r="AR90" i="22" s="1"/>
  <c r="U46" i="18"/>
  <c r="U41" i="18"/>
  <c r="E74" i="17"/>
  <c r="E75" i="17" s="1"/>
  <c r="E68" i="17"/>
  <c r="E69" i="17" s="1"/>
  <c r="F67" i="17"/>
  <c r="F72" i="17" s="1"/>
  <c r="F63" i="17"/>
  <c r="U81" i="11" s="1"/>
  <c r="U86" i="11" s="1"/>
  <c r="N434" i="1"/>
  <c r="N437" i="1" s="1"/>
  <c r="M437" i="1"/>
  <c r="J32" i="1" s="1"/>
  <c r="K24" i="3" s="1"/>
  <c r="M480" i="1"/>
  <c r="N480" i="1" s="1"/>
  <c r="M479" i="1"/>
  <c r="M525" i="1"/>
  <c r="N525" i="1" s="1"/>
  <c r="M524" i="1"/>
  <c r="M569" i="1"/>
  <c r="N569" i="1" s="1"/>
  <c r="M570" i="1"/>
  <c r="N570" i="1" s="1"/>
  <c r="O5" i="3"/>
  <c r="W110" i="27"/>
  <c r="W112" i="27" s="1"/>
  <c r="I47" i="17"/>
  <c r="I46" i="17"/>
  <c r="Q47" i="11"/>
  <c r="Q52" i="11" s="1"/>
  <c r="F73" i="17"/>
  <c r="R182" i="27"/>
  <c r="P69" i="11"/>
  <c r="P74" i="11" s="1"/>
  <c r="G66" i="17"/>
  <c r="G61" i="17"/>
  <c r="G62" i="17" s="1"/>
  <c r="X110" i="27" s="1"/>
  <c r="X112" i="27" s="1"/>
  <c r="G52" i="17"/>
  <c r="H42" i="17"/>
  <c r="U104" i="27" s="1"/>
  <c r="H45" i="17"/>
  <c r="H48" i="17" s="1"/>
  <c r="H51" i="17" s="1"/>
  <c r="H53" i="17" s="1"/>
  <c r="H60" i="17" s="1"/>
  <c r="C12" i="10"/>
  <c r="C5" i="7"/>
  <c r="D5" i="7" s="1"/>
  <c r="E5" i="7" s="1"/>
  <c r="F5" i="7" s="1"/>
  <c r="G5" i="7" s="1"/>
  <c r="C16" i="10"/>
  <c r="C13" i="10"/>
  <c r="C18" i="10" s="1"/>
  <c r="C6" i="4"/>
  <c r="C4" i="10" s="1"/>
  <c r="C17" i="10"/>
  <c r="E6" i="7"/>
  <c r="F6" i="7" s="1"/>
  <c r="G6" i="7" s="1"/>
  <c r="AR140" i="27"/>
  <c r="AR142" i="27" s="1"/>
  <c r="M562" i="1"/>
  <c r="N562" i="1" s="1"/>
  <c r="M561" i="1"/>
  <c r="N561" i="1" s="1"/>
  <c r="M534" i="1"/>
  <c r="N534" i="1" s="1"/>
  <c r="M544" i="1"/>
  <c r="N544" i="1" s="1"/>
  <c r="M536" i="1"/>
  <c r="N536" i="1" s="1"/>
  <c r="M540" i="1"/>
  <c r="N540" i="1" s="1"/>
  <c r="M559" i="1"/>
  <c r="N559" i="1" s="1"/>
  <c r="M550" i="1"/>
  <c r="N550" i="1" s="1"/>
  <c r="M566" i="1"/>
  <c r="N566" i="1" s="1"/>
  <c r="M563" i="1"/>
  <c r="N563" i="1" s="1"/>
  <c r="M560" i="1"/>
  <c r="N560" i="1" s="1"/>
  <c r="M533" i="1"/>
  <c r="M545" i="1"/>
  <c r="N545" i="1" s="1"/>
  <c r="M537" i="1"/>
  <c r="N537" i="1" s="1"/>
  <c r="M541" i="1"/>
  <c r="N541" i="1" s="1"/>
  <c r="M542" i="1"/>
  <c r="N542" i="1" s="1"/>
  <c r="M568" i="1"/>
  <c r="N568" i="1" s="1"/>
  <c r="M543" i="1"/>
  <c r="N543" i="1" s="1"/>
  <c r="M539" i="1"/>
  <c r="N539" i="1" s="1"/>
  <c r="M567" i="1"/>
  <c r="N567" i="1" s="1"/>
  <c r="M564" i="1"/>
  <c r="N564" i="1" s="1"/>
  <c r="M535" i="1"/>
  <c r="N535" i="1" s="1"/>
  <c r="N26" i="3"/>
  <c r="M551" i="1"/>
  <c r="N551" i="1" s="1"/>
  <c r="M538" i="1"/>
  <c r="N538" i="1" s="1"/>
  <c r="M565" i="1"/>
  <c r="N565" i="1" s="1"/>
  <c r="M552" i="1"/>
  <c r="N552" i="1" s="1"/>
  <c r="O22" i="3"/>
  <c r="L29" i="3"/>
  <c r="M27" i="6"/>
  <c r="M28" i="6" s="1"/>
  <c r="AW67" i="22" l="1"/>
  <c r="AX57" i="22"/>
  <c r="AV76" i="22"/>
  <c r="AV77" i="22" s="1"/>
  <c r="AV69" i="22"/>
  <c r="AV68" i="22"/>
  <c r="AV81" i="22"/>
  <c r="U42" i="18"/>
  <c r="U47" i="18"/>
  <c r="T62" i="18"/>
  <c r="AU82" i="11" s="1"/>
  <c r="T66" i="18"/>
  <c r="AM59" i="11" s="1"/>
  <c r="AM70" i="11" s="1"/>
  <c r="AG73" i="18"/>
  <c r="AG74" i="18" s="1"/>
  <c r="AH71" i="18"/>
  <c r="T67" i="18"/>
  <c r="AT87" i="22"/>
  <c r="AS89" i="22"/>
  <c r="AS90" i="22" s="1"/>
  <c r="AU82" i="22"/>
  <c r="AU83" i="22" s="1"/>
  <c r="AU84" i="22" s="1"/>
  <c r="AU78" i="22"/>
  <c r="F68" i="17"/>
  <c r="F69" i="17" s="1"/>
  <c r="F74" i="17"/>
  <c r="F75" i="17" s="1"/>
  <c r="G67" i="17"/>
  <c r="G72" i="17" s="1"/>
  <c r="G63" i="17"/>
  <c r="V81" i="11" s="1"/>
  <c r="V86" i="11" s="1"/>
  <c r="N479" i="1"/>
  <c r="N482" i="1" s="1"/>
  <c r="M482" i="1"/>
  <c r="K32" i="1" s="1"/>
  <c r="L24" i="3" s="1"/>
  <c r="N524" i="1"/>
  <c r="N527" i="1" s="1"/>
  <c r="M527" i="1"/>
  <c r="L32" i="1" s="1"/>
  <c r="M24" i="3" s="1"/>
  <c r="C23" i="4"/>
  <c r="P75" i="11"/>
  <c r="S182" i="27"/>
  <c r="S184" i="27" s="1"/>
  <c r="Q69" i="11"/>
  <c r="Q74" i="11" s="1"/>
  <c r="R184" i="27"/>
  <c r="R185" i="27"/>
  <c r="J46" i="17"/>
  <c r="J47" i="17"/>
  <c r="I45" i="17"/>
  <c r="I48" i="17" s="1"/>
  <c r="I51" i="17" s="1"/>
  <c r="I53" i="17" s="1"/>
  <c r="I60" i="17" s="1"/>
  <c r="I42" i="17"/>
  <c r="V104" i="27" s="1"/>
  <c r="U107" i="27"/>
  <c r="U109" i="27" s="1"/>
  <c r="H66" i="17"/>
  <c r="H61" i="17"/>
  <c r="H62" i="17" s="1"/>
  <c r="H52" i="17"/>
  <c r="R47" i="11"/>
  <c r="R52" i="11" s="1"/>
  <c r="G73" i="17"/>
  <c r="C19" i="10"/>
  <c r="AR143" i="27"/>
  <c r="AR145" i="27" s="1"/>
  <c r="AP48" i="11"/>
  <c r="N533" i="1"/>
  <c r="N572" i="1" s="1"/>
  <c r="M572" i="1"/>
  <c r="M32" i="1" s="1"/>
  <c r="L4" i="8"/>
  <c r="L7" i="8" s="1"/>
  <c r="L21" i="8" s="1"/>
  <c r="L23" i="8" s="1"/>
  <c r="L25" i="6"/>
  <c r="L26" i="6" s="1"/>
  <c r="N28" i="3"/>
  <c r="O26" i="3"/>
  <c r="V58" i="11" l="1"/>
  <c r="V63" i="11" s="1"/>
  <c r="AH73" i="18"/>
  <c r="AH74" i="18" s="1"/>
  <c r="AI71" i="18"/>
  <c r="AU87" i="22"/>
  <c r="AT89" i="22"/>
  <c r="AT90" i="22" s="1"/>
  <c r="V40" i="18"/>
  <c r="U43" i="18"/>
  <c r="AP137" i="27" s="1"/>
  <c r="U48" i="18"/>
  <c r="U49" i="18" s="1"/>
  <c r="U52" i="18" s="1"/>
  <c r="AV78" i="22"/>
  <c r="AV82" i="22"/>
  <c r="AV83" i="22" s="1"/>
  <c r="AV84" i="22" s="1"/>
  <c r="AX67" i="22"/>
  <c r="AY57" i="22"/>
  <c r="AO146" i="27"/>
  <c r="AO148" i="27" s="1"/>
  <c r="T68" i="18"/>
  <c r="AW81" i="22"/>
  <c r="AW69" i="22"/>
  <c r="AW68" i="22"/>
  <c r="AW76" i="22"/>
  <c r="AW77" i="22" s="1"/>
  <c r="W113" i="27"/>
  <c r="W115" i="27" s="1"/>
  <c r="G68" i="17"/>
  <c r="G69" i="17" s="1"/>
  <c r="B30" i="2"/>
  <c r="B31" i="2" s="1"/>
  <c r="H67" i="17"/>
  <c r="H72" i="17" s="1"/>
  <c r="H63" i="17"/>
  <c r="W81" i="11" s="1"/>
  <c r="W86" i="11" s="1"/>
  <c r="C40" i="10"/>
  <c r="C5" i="10"/>
  <c r="C27" i="4"/>
  <c r="C29" i="4" s="1"/>
  <c r="C24" i="10" s="1"/>
  <c r="Y110" i="27"/>
  <c r="Y112" i="27" s="1"/>
  <c r="Q75" i="11"/>
  <c r="S185" i="27"/>
  <c r="R187" i="27"/>
  <c r="V107" i="27"/>
  <c r="V109" i="27" s="1"/>
  <c r="I61" i="17"/>
  <c r="I62" i="17" s="1"/>
  <c r="I66" i="17"/>
  <c r="I52" i="17"/>
  <c r="T182" i="27"/>
  <c r="T184" i="27" s="1"/>
  <c r="R69" i="11"/>
  <c r="R74" i="11" s="1"/>
  <c r="S47" i="11"/>
  <c r="S52" i="11" s="1"/>
  <c r="H73" i="17"/>
  <c r="G74" i="17"/>
  <c r="G75" i="17" s="1"/>
  <c r="K47" i="17"/>
  <c r="K46" i="17"/>
  <c r="J45" i="17"/>
  <c r="J48" i="17" s="1"/>
  <c r="J51" i="17" s="1"/>
  <c r="J53" i="17" s="1"/>
  <c r="J60" i="17" s="1"/>
  <c r="J42" i="17"/>
  <c r="W104" i="27" s="1"/>
  <c r="L27" i="6"/>
  <c r="L28" i="6" s="1"/>
  <c r="N24" i="3"/>
  <c r="O24" i="3" s="1"/>
  <c r="N32" i="1"/>
  <c r="N29" i="3"/>
  <c r="O28" i="3"/>
  <c r="M22" i="8"/>
  <c r="M23" i="8" s="1"/>
  <c r="L6" i="6"/>
  <c r="L10" i="6" s="1"/>
  <c r="L13" i="6" s="1"/>
  <c r="AY67" i="22" l="1"/>
  <c r="AZ57" i="22"/>
  <c r="AX81" i="22"/>
  <c r="AX76" i="22"/>
  <c r="AX77" i="22" s="1"/>
  <c r="AX68" i="22"/>
  <c r="AX69" i="22"/>
  <c r="U60" i="18"/>
  <c r="U61" i="18" s="1"/>
  <c r="U53" i="18"/>
  <c r="U65" i="18"/>
  <c r="AU89" i="22"/>
  <c r="AU90" i="22" s="1"/>
  <c r="AV87" i="22"/>
  <c r="AW78" i="22"/>
  <c r="AW82" i="22"/>
  <c r="AW83" i="22" s="1"/>
  <c r="AW84" i="22" s="1"/>
  <c r="AI73" i="18"/>
  <c r="AI74" i="18" s="1"/>
  <c r="AJ71" i="18"/>
  <c r="V46" i="18"/>
  <c r="V41" i="18"/>
  <c r="X113" i="27"/>
  <c r="X115" i="27" s="1"/>
  <c r="W58" i="11"/>
  <c r="W63" i="11" s="1"/>
  <c r="H74" i="17"/>
  <c r="H75" i="17" s="1"/>
  <c r="H68" i="17"/>
  <c r="H69" i="17" s="1"/>
  <c r="C25" i="4"/>
  <c r="I67" i="17"/>
  <c r="I72" i="17" s="1"/>
  <c r="I63" i="17"/>
  <c r="X81" i="11" s="1"/>
  <c r="X86" i="11" s="1"/>
  <c r="Z110" i="27"/>
  <c r="Z112" i="27" s="1"/>
  <c r="R75" i="11"/>
  <c r="W107" i="27"/>
  <c r="W109" i="27" s="1"/>
  <c r="J52" i="17"/>
  <c r="J61" i="17"/>
  <c r="J62" i="17" s="1"/>
  <c r="J66" i="17"/>
  <c r="U182" i="27"/>
  <c r="U184" i="27" s="1"/>
  <c r="S69" i="11"/>
  <c r="S74" i="11" s="1"/>
  <c r="L47" i="17"/>
  <c r="L46" i="17"/>
  <c r="K42" i="17"/>
  <c r="X104" i="27" s="1"/>
  <c r="K45" i="17"/>
  <c r="K48" i="17" s="1"/>
  <c r="K51" i="17" s="1"/>
  <c r="K53" i="17" s="1"/>
  <c r="K60" i="17" s="1"/>
  <c r="T47" i="11"/>
  <c r="T52" i="11" s="1"/>
  <c r="I73" i="17"/>
  <c r="M46" i="17"/>
  <c r="M47" i="17"/>
  <c r="S187" i="27"/>
  <c r="T185" i="27"/>
  <c r="AR146" i="27"/>
  <c r="AR148" i="27" s="1"/>
  <c r="AS140" i="27"/>
  <c r="AS142" i="27" s="1"/>
  <c r="C30" i="4"/>
  <c r="C23" i="10" s="1"/>
  <c r="L30" i="6"/>
  <c r="M6" i="6"/>
  <c r="M10" i="6" s="1"/>
  <c r="M13" i="6" s="1"/>
  <c r="M30" i="6" s="1"/>
  <c r="N22" i="8"/>
  <c r="L25" i="8"/>
  <c r="N4" i="8"/>
  <c r="N7" i="8" s="1"/>
  <c r="N21" i="8" s="1"/>
  <c r="N25" i="6"/>
  <c r="N26" i="6" s="1"/>
  <c r="C38" i="7" s="1"/>
  <c r="O29" i="3"/>
  <c r="O4" i="8" s="1"/>
  <c r="O7" i="8" s="1"/>
  <c r="O21" i="8" s="1"/>
  <c r="AJ73" i="18" l="1"/>
  <c r="AJ74" i="18" s="1"/>
  <c r="AK71" i="18"/>
  <c r="AX82" i="22"/>
  <c r="AX83" i="22" s="1"/>
  <c r="AX84" i="22" s="1"/>
  <c r="AX78" i="22"/>
  <c r="AW87" i="22"/>
  <c r="AV89" i="22"/>
  <c r="AV90" i="22" s="1"/>
  <c r="U62" i="18"/>
  <c r="AV82" i="11" s="1"/>
  <c r="U66" i="18"/>
  <c r="AN59" i="11" s="1"/>
  <c r="AN70" i="11" s="1"/>
  <c r="V47" i="18"/>
  <c r="V42" i="18"/>
  <c r="AZ67" i="22"/>
  <c r="BA57" i="22"/>
  <c r="AY81" i="22"/>
  <c r="AY76" i="22"/>
  <c r="AY77" i="22" s="1"/>
  <c r="AY69" i="22"/>
  <c r="AY68" i="22"/>
  <c r="Y113" i="27"/>
  <c r="Y115" i="27" s="1"/>
  <c r="I68" i="17"/>
  <c r="Z113" i="27" s="1"/>
  <c r="Z115" i="27" s="1"/>
  <c r="I74" i="17"/>
  <c r="I75" i="17" s="1"/>
  <c r="J67" i="17"/>
  <c r="J68" i="17" s="1"/>
  <c r="J69" i="17" s="1"/>
  <c r="J63" i="17"/>
  <c r="Y81" i="11" s="1"/>
  <c r="Y86" i="11" s="1"/>
  <c r="AA110" i="27"/>
  <c r="AA112" i="27" s="1"/>
  <c r="S75" i="11"/>
  <c r="V113" i="27"/>
  <c r="V115" i="27" s="1"/>
  <c r="U185" i="27"/>
  <c r="T187" i="27"/>
  <c r="N46" i="17"/>
  <c r="N47" i="17"/>
  <c r="V182" i="27"/>
  <c r="V184" i="27" s="1"/>
  <c r="T69" i="11"/>
  <c r="T74" i="11" s="1"/>
  <c r="L45" i="17"/>
  <c r="L48" i="17" s="1"/>
  <c r="L51" i="17" s="1"/>
  <c r="L53" i="17" s="1"/>
  <c r="L60" i="17" s="1"/>
  <c r="L42" i="17"/>
  <c r="Y104" i="27" s="1"/>
  <c r="U47" i="11"/>
  <c r="U52" i="11" s="1"/>
  <c r="J73" i="17"/>
  <c r="M45" i="17"/>
  <c r="M48" i="17" s="1"/>
  <c r="M51" i="17" s="1"/>
  <c r="M53" i="17" s="1"/>
  <c r="M60" i="17" s="1"/>
  <c r="M42" i="17"/>
  <c r="Z104" i="27" s="1"/>
  <c r="X107" i="27"/>
  <c r="X109" i="27" s="1"/>
  <c r="K52" i="17"/>
  <c r="K61" i="17"/>
  <c r="K62" i="17" s="1"/>
  <c r="K66" i="17"/>
  <c r="U58" i="11"/>
  <c r="U63" i="11" s="1"/>
  <c r="AS143" i="27"/>
  <c r="AS145" i="27" s="1"/>
  <c r="AQ48" i="11"/>
  <c r="C6" i="10"/>
  <c r="C22" i="10"/>
  <c r="M25" i="8"/>
  <c r="C5" i="9"/>
  <c r="C8" i="9" s="1"/>
  <c r="N23" i="8"/>
  <c r="C37" i="7"/>
  <c r="N27" i="6"/>
  <c r="N28" i="6" s="1"/>
  <c r="C17" i="9"/>
  <c r="U67" i="18" l="1"/>
  <c r="U68" i="18" s="1"/>
  <c r="AP146" i="27"/>
  <c r="AP148" i="27" s="1"/>
  <c r="AL71" i="18"/>
  <c r="AK73" i="18"/>
  <c r="AK74" i="18" s="1"/>
  <c r="AY78" i="22"/>
  <c r="AY82" i="22"/>
  <c r="AY83" i="22" s="1"/>
  <c r="AY84" i="22" s="1"/>
  <c r="AZ81" i="22"/>
  <c r="AZ68" i="22"/>
  <c r="AZ76" i="22"/>
  <c r="AZ77" i="22" s="1"/>
  <c r="AZ69" i="22"/>
  <c r="V43" i="18"/>
  <c r="AQ137" i="27" s="1"/>
  <c r="V48" i="18"/>
  <c r="V49" i="18" s="1"/>
  <c r="V52" i="18" s="1"/>
  <c r="W40" i="18"/>
  <c r="BA67" i="22"/>
  <c r="BB57" i="22"/>
  <c r="AW89" i="22"/>
  <c r="AW90" i="22" s="1"/>
  <c r="AX87" i="22"/>
  <c r="J72" i="17"/>
  <c r="J74" i="17" s="1"/>
  <c r="J75" i="17" s="1"/>
  <c r="I69" i="17"/>
  <c r="K67" i="17"/>
  <c r="K72" i="17" s="1"/>
  <c r="K63" i="17"/>
  <c r="Z81" i="11" s="1"/>
  <c r="Z86" i="11" s="1"/>
  <c r="C98" i="11" s="1"/>
  <c r="D5" i="4" s="1"/>
  <c r="T75" i="11"/>
  <c r="Y107" i="27"/>
  <c r="Y109" i="27" s="1"/>
  <c r="L52" i="17"/>
  <c r="L61" i="17"/>
  <c r="L62" i="17" s="1"/>
  <c r="L66" i="17"/>
  <c r="V185" i="27"/>
  <c r="U187" i="27"/>
  <c r="V47" i="11"/>
  <c r="V52" i="11" s="1"/>
  <c r="K73" i="17"/>
  <c r="Z107" i="27"/>
  <c r="Z109" i="27" s="1"/>
  <c r="M66" i="17"/>
  <c r="M61" i="17"/>
  <c r="M62" i="17" s="1"/>
  <c r="M52" i="17"/>
  <c r="O47" i="17"/>
  <c r="O46" i="17"/>
  <c r="W182" i="27"/>
  <c r="W184" i="27" s="1"/>
  <c r="U69" i="11"/>
  <c r="U74" i="11" s="1"/>
  <c r="N45" i="17"/>
  <c r="N48" i="17" s="1"/>
  <c r="N51" i="17" s="1"/>
  <c r="N53" i="17" s="1"/>
  <c r="N60" i="17" s="1"/>
  <c r="N42" i="17"/>
  <c r="AA104" i="27" s="1"/>
  <c r="AB110" i="27"/>
  <c r="AB112" i="27" s="1"/>
  <c r="AA113" i="27"/>
  <c r="AA115" i="27" s="1"/>
  <c r="AS146" i="27"/>
  <c r="AS148" i="27" s="1"/>
  <c r="C19" i="9"/>
  <c r="C21" i="9" s="1"/>
  <c r="C17" i="7" s="1"/>
  <c r="C21" i="7" s="1"/>
  <c r="C25" i="7" s="1"/>
  <c r="C39" i="7"/>
  <c r="N6" i="6"/>
  <c r="N10" i="6" s="1"/>
  <c r="N13" i="6" s="1"/>
  <c r="N30" i="6" s="1"/>
  <c r="O22" i="8"/>
  <c r="O23" i="8" s="1"/>
  <c r="BB67" i="22" l="1"/>
  <c r="BC57" i="22"/>
  <c r="AM71" i="18"/>
  <c r="AL73" i="18"/>
  <c r="AL74" i="18" s="1"/>
  <c r="BA76" i="22"/>
  <c r="BA77" i="22" s="1"/>
  <c r="BA69" i="22"/>
  <c r="BA81" i="22"/>
  <c r="BA68" i="22"/>
  <c r="AY87" i="22"/>
  <c r="AX89" i="22"/>
  <c r="AX90" i="22" s="1"/>
  <c r="W46" i="18"/>
  <c r="W41" i="18"/>
  <c r="AZ78" i="22"/>
  <c r="AZ82" i="22"/>
  <c r="AZ83" i="22" s="1"/>
  <c r="AZ84" i="22" s="1"/>
  <c r="V53" i="18"/>
  <c r="V60" i="18"/>
  <c r="V61" i="18" s="1"/>
  <c r="V65" i="18"/>
  <c r="C93" i="11"/>
  <c r="K68" i="17"/>
  <c r="K69" i="17" s="1"/>
  <c r="L67" i="17"/>
  <c r="L72" i="17" s="1"/>
  <c r="L63" i="17"/>
  <c r="M67" i="17"/>
  <c r="M68" i="17" s="1"/>
  <c r="M69" i="17" s="1"/>
  <c r="M63" i="17"/>
  <c r="AB81" i="11" s="1"/>
  <c r="AB86" i="11" s="1"/>
  <c r="U75" i="11"/>
  <c r="AA107" i="27"/>
  <c r="AA109" i="27" s="1"/>
  <c r="N66" i="17"/>
  <c r="N52" i="17"/>
  <c r="N61" i="17"/>
  <c r="N62" i="17" s="1"/>
  <c r="X58" i="11"/>
  <c r="X63" i="11" s="1"/>
  <c r="M72" i="17"/>
  <c r="V187" i="27"/>
  <c r="W185" i="27"/>
  <c r="X47" i="11"/>
  <c r="X52" i="11" s="1"/>
  <c r="M73" i="17"/>
  <c r="N73" i="17" s="1"/>
  <c r="O73" i="17" s="1"/>
  <c r="P73" i="17" s="1"/>
  <c r="Q73" i="17" s="1"/>
  <c r="R73" i="17" s="1"/>
  <c r="S73" i="17" s="1"/>
  <c r="T73" i="17" s="1"/>
  <c r="U73" i="17" s="1"/>
  <c r="V73" i="17" s="1"/>
  <c r="W73" i="17" s="1"/>
  <c r="X73" i="17" s="1"/>
  <c r="Y73" i="17" s="1"/>
  <c r="Z73" i="17" s="1"/>
  <c r="AA73" i="17" s="1"/>
  <c r="AB73" i="17" s="1"/>
  <c r="AC73" i="17" s="1"/>
  <c r="AD73" i="17" s="1"/>
  <c r="AE73" i="17" s="1"/>
  <c r="AF73" i="17" s="1"/>
  <c r="AG73" i="17" s="1"/>
  <c r="AH73" i="17" s="1"/>
  <c r="AI73" i="17" s="1"/>
  <c r="AJ73" i="17" s="1"/>
  <c r="AK73" i="17" s="1"/>
  <c r="AL73" i="17" s="1"/>
  <c r="AM73" i="17" s="1"/>
  <c r="AN73" i="17" s="1"/>
  <c r="AO73" i="17" s="1"/>
  <c r="AP73" i="17" s="1"/>
  <c r="AQ73" i="17" s="1"/>
  <c r="AR73" i="17" s="1"/>
  <c r="AS73" i="17" s="1"/>
  <c r="AT73" i="17" s="1"/>
  <c r="AU73" i="17" s="1"/>
  <c r="AV73" i="17" s="1"/>
  <c r="AW73" i="17" s="1"/>
  <c r="AX73" i="17" s="1"/>
  <c r="AY73" i="17" s="1"/>
  <c r="AZ73" i="17" s="1"/>
  <c r="BA73" i="17" s="1"/>
  <c r="BB73" i="17" s="1"/>
  <c r="BC73" i="17" s="1"/>
  <c r="BD73" i="17" s="1"/>
  <c r="W47" i="11"/>
  <c r="W52" i="11" s="1"/>
  <c r="L73" i="17"/>
  <c r="O45" i="17"/>
  <c r="O48" i="17" s="1"/>
  <c r="O51" i="17" s="1"/>
  <c r="O53" i="17" s="1"/>
  <c r="O60" i="17" s="1"/>
  <c r="O42" i="17"/>
  <c r="AB104" i="27" s="1"/>
  <c r="X182" i="27"/>
  <c r="X184" i="27" s="1"/>
  <c r="V69" i="11"/>
  <c r="V74" i="11" s="1"/>
  <c r="K74" i="17"/>
  <c r="K75" i="17" s="1"/>
  <c r="AC107" i="27"/>
  <c r="AC109" i="27" s="1"/>
  <c r="AT140" i="27"/>
  <c r="AT142" i="27" s="1"/>
  <c r="D20" i="9"/>
  <c r="C23" i="9"/>
  <c r="N25" i="8"/>
  <c r="C40" i="7"/>
  <c r="C42" i="7" s="1"/>
  <c r="C33" i="10"/>
  <c r="C35" i="10"/>
  <c r="C28" i="10"/>
  <c r="C29" i="10"/>
  <c r="BC67" i="22" l="1"/>
  <c r="BD57" i="22"/>
  <c r="BD67" i="22" s="1"/>
  <c r="AM73" i="18"/>
  <c r="AM74" i="18" s="1"/>
  <c r="AN71" i="18"/>
  <c r="AY89" i="22"/>
  <c r="AY90" i="22" s="1"/>
  <c r="AZ87" i="22"/>
  <c r="BA82" i="22"/>
  <c r="BA83" i="22" s="1"/>
  <c r="BA84" i="22" s="1"/>
  <c r="BA78" i="22"/>
  <c r="BB68" i="22"/>
  <c r="BB69" i="22"/>
  <c r="BB81" i="22"/>
  <c r="BB76" i="22"/>
  <c r="BB77" i="22" s="1"/>
  <c r="V62" i="18"/>
  <c r="AW82" i="11" s="1"/>
  <c r="V66" i="18"/>
  <c r="AO59" i="11" s="1"/>
  <c r="AO70" i="11" s="1"/>
  <c r="W42" i="18"/>
  <c r="W47" i="18"/>
  <c r="AA81" i="11"/>
  <c r="AA86" i="11" s="1"/>
  <c r="L68" i="17"/>
  <c r="L69" i="17" s="1"/>
  <c r="L74" i="17"/>
  <c r="L75" i="17" s="1"/>
  <c r="N67" i="17"/>
  <c r="Y58" i="11" s="1"/>
  <c r="Y63" i="11" s="1"/>
  <c r="N63" i="17"/>
  <c r="AC81" i="11" s="1"/>
  <c r="AC86" i="11" s="1"/>
  <c r="V75" i="11"/>
  <c r="P47" i="17"/>
  <c r="P46" i="17"/>
  <c r="Z182" i="27"/>
  <c r="Z184" i="27" s="1"/>
  <c r="X69" i="11"/>
  <c r="X74" i="11" s="1"/>
  <c r="N72" i="17"/>
  <c r="M74" i="17"/>
  <c r="Y182" i="27"/>
  <c r="Y184" i="27" s="1"/>
  <c r="W69" i="11"/>
  <c r="W74" i="11" s="1"/>
  <c r="X185" i="27"/>
  <c r="W187" i="27"/>
  <c r="Y47" i="11"/>
  <c r="Y52" i="11" s="1"/>
  <c r="AB107" i="27"/>
  <c r="AB109" i="27" s="1"/>
  <c r="O61" i="17"/>
  <c r="O62" i="17" s="1"/>
  <c r="O66" i="17"/>
  <c r="O52" i="17"/>
  <c r="AB113" i="27"/>
  <c r="AB115" i="27" s="1"/>
  <c r="AT143" i="27"/>
  <c r="AT145" i="27" s="1"/>
  <c r="AR48" i="11"/>
  <c r="AC110" i="27"/>
  <c r="AC112" i="27" s="1"/>
  <c r="C34" i="10"/>
  <c r="C11" i="10"/>
  <c r="C10" i="10"/>
  <c r="C36" i="10"/>
  <c r="V67" i="18" l="1"/>
  <c r="V68" i="18" s="1"/>
  <c r="X40" i="18"/>
  <c r="W43" i="18"/>
  <c r="AR137" i="27" s="1"/>
  <c r="W48" i="18"/>
  <c r="W49" i="18" s="1"/>
  <c r="W52" i="18" s="1"/>
  <c r="AN73" i="18"/>
  <c r="AN74" i="18" s="1"/>
  <c r="AO71" i="18"/>
  <c r="BA87" i="22"/>
  <c r="AZ89" i="22"/>
  <c r="AZ90" i="22" s="1"/>
  <c r="BD81" i="22"/>
  <c r="BD68" i="22"/>
  <c r="BD76" i="22"/>
  <c r="BD77" i="22" s="1"/>
  <c r="BD69" i="22"/>
  <c r="BB82" i="22"/>
  <c r="BB83" i="22" s="1"/>
  <c r="BB84" i="22" s="1"/>
  <c r="BB78" i="22"/>
  <c r="AQ146" i="27"/>
  <c r="AQ148" i="27" s="1"/>
  <c r="BC76" i="22"/>
  <c r="BC77" i="22" s="1"/>
  <c r="BC68" i="22"/>
  <c r="BC69" i="22"/>
  <c r="BC81" i="22"/>
  <c r="N68" i="17"/>
  <c r="N69" i="17" s="1"/>
  <c r="O67" i="17"/>
  <c r="Z58" i="11" s="1"/>
  <c r="Z63" i="11" s="1"/>
  <c r="O63" i="17"/>
  <c r="AD81" i="11" s="1"/>
  <c r="AD86" i="11" s="1"/>
  <c r="M75" i="17"/>
  <c r="W75" i="11"/>
  <c r="X75" i="11"/>
  <c r="O72" i="17"/>
  <c r="N74" i="17"/>
  <c r="X187" i="27"/>
  <c r="Y185" i="27"/>
  <c r="R47" i="17"/>
  <c r="Q46" i="17"/>
  <c r="Q47" i="17"/>
  <c r="Z47" i="11"/>
  <c r="Z52" i="11" s="1"/>
  <c r="AA182" i="27"/>
  <c r="AA184" i="27" s="1"/>
  <c r="Y69" i="11"/>
  <c r="Y74" i="11" s="1"/>
  <c r="P45" i="17"/>
  <c r="P48" i="17" s="1"/>
  <c r="P51" i="17" s="1"/>
  <c r="P53" i="17" s="1"/>
  <c r="P60" i="17" s="1"/>
  <c r="P42" i="17"/>
  <c r="AC104" i="27" s="1"/>
  <c r="AT146" i="27"/>
  <c r="AT148" i="27" s="1"/>
  <c r="BC78" i="22" l="1"/>
  <c r="BC82" i="22"/>
  <c r="BC83" i="22" s="1"/>
  <c r="BC84" i="22" s="1"/>
  <c r="W53" i="18"/>
  <c r="W65" i="18"/>
  <c r="W60" i="18"/>
  <c r="W61" i="18" s="1"/>
  <c r="BD82" i="22"/>
  <c r="BD83" i="22" s="1"/>
  <c r="BD84" i="22" s="1"/>
  <c r="BD78" i="22"/>
  <c r="BA89" i="22"/>
  <c r="BA90" i="22" s="1"/>
  <c r="BB87" i="22"/>
  <c r="AO73" i="18"/>
  <c r="AO74" i="18" s="1"/>
  <c r="AP71" i="18"/>
  <c r="X46" i="18"/>
  <c r="X41" i="18"/>
  <c r="O68" i="17"/>
  <c r="O69" i="17" s="1"/>
  <c r="J20" i="11"/>
  <c r="C18" i="11" s="1"/>
  <c r="N75" i="17"/>
  <c r="Y75" i="11"/>
  <c r="AB182" i="27"/>
  <c r="AB184" i="27" s="1"/>
  <c r="Z69" i="11"/>
  <c r="Z74" i="11" s="1"/>
  <c r="R46" i="17"/>
  <c r="R45" i="17"/>
  <c r="J19" i="11"/>
  <c r="Z185" i="27"/>
  <c r="Y187" i="27"/>
  <c r="O74" i="17"/>
  <c r="P72" i="17"/>
  <c r="Q45" i="17"/>
  <c r="Q48" i="17" s="1"/>
  <c r="Q51" i="17" s="1"/>
  <c r="Q53" i="17" s="1"/>
  <c r="Q60" i="17" s="1"/>
  <c r="Q42" i="17"/>
  <c r="AD104" i="27" s="1"/>
  <c r="P66" i="17"/>
  <c r="P52" i="17"/>
  <c r="P61" i="17"/>
  <c r="P62" i="17" s="1"/>
  <c r="AD110" i="27"/>
  <c r="AD112" i="27" s="1"/>
  <c r="AC113" i="27"/>
  <c r="AC115" i="27" s="1"/>
  <c r="AU140" i="27"/>
  <c r="AU142" i="27" s="1"/>
  <c r="AB47" i="11"/>
  <c r="AB52" i="11" s="1"/>
  <c r="AP73" i="18" l="1"/>
  <c r="AP74" i="18" s="1"/>
  <c r="AQ71" i="18"/>
  <c r="X42" i="18"/>
  <c r="X47" i="18"/>
  <c r="BC87" i="22"/>
  <c r="BB89" i="22"/>
  <c r="BB90" i="22" s="1"/>
  <c r="W62" i="18"/>
  <c r="AX82" i="11" s="1"/>
  <c r="E94" i="11" s="1"/>
  <c r="W66" i="18"/>
  <c r="AP59" i="11" s="1"/>
  <c r="AP70" i="11" s="1"/>
  <c r="D29" i="7"/>
  <c r="D16" i="10" s="1"/>
  <c r="C23" i="11"/>
  <c r="D20" i="7"/>
  <c r="D12" i="10" s="1"/>
  <c r="P67" i="17"/>
  <c r="AA58" i="11" s="1"/>
  <c r="AA63" i="11" s="1"/>
  <c r="P63" i="17"/>
  <c r="AE81" i="11" s="1"/>
  <c r="AE86" i="11" s="1"/>
  <c r="O75" i="17"/>
  <c r="Z75" i="11"/>
  <c r="R48" i="17"/>
  <c r="R51" i="17" s="1"/>
  <c r="Q72" i="17"/>
  <c r="P74" i="17"/>
  <c r="C7" i="11"/>
  <c r="C12" i="11" s="1"/>
  <c r="J21" i="11"/>
  <c r="C29" i="11" s="1"/>
  <c r="C34" i="11" s="1"/>
  <c r="AA47" i="11"/>
  <c r="AA52" i="11" s="1"/>
  <c r="R42" i="17"/>
  <c r="AE104" i="27" s="1"/>
  <c r="AD107" i="27"/>
  <c r="AD109" i="27" s="1"/>
  <c r="Q52" i="17"/>
  <c r="Q61" i="17"/>
  <c r="Q62" i="17" s="1"/>
  <c r="Q66" i="17"/>
  <c r="Z187" i="27"/>
  <c r="AA185" i="27"/>
  <c r="AS48" i="11"/>
  <c r="AD113" i="27"/>
  <c r="AD115" i="27" s="1"/>
  <c r="AU143" i="27"/>
  <c r="AU145" i="27" s="1"/>
  <c r="S47" i="17"/>
  <c r="S46" i="17"/>
  <c r="AD182" i="27"/>
  <c r="AE107" i="27" l="1"/>
  <c r="AE109" i="27" s="1"/>
  <c r="R53" i="17"/>
  <c r="R60" i="17" s="1"/>
  <c r="Y40" i="18"/>
  <c r="X48" i="18"/>
  <c r="X49" i="18" s="1"/>
  <c r="X52" i="18" s="1"/>
  <c r="X43" i="18"/>
  <c r="AS137" i="27" s="1"/>
  <c r="AQ73" i="18"/>
  <c r="AQ74" i="18" s="1"/>
  <c r="AR71" i="18"/>
  <c r="BC89" i="22"/>
  <c r="BC90" i="22" s="1"/>
  <c r="BD87" i="22"/>
  <c r="BD89" i="22" s="1"/>
  <c r="W67" i="18"/>
  <c r="W68" i="18" s="1"/>
  <c r="D31" i="7"/>
  <c r="D34" i="7" s="1"/>
  <c r="D17" i="10"/>
  <c r="D49" i="7"/>
  <c r="P68" i="17"/>
  <c r="P69" i="17" s="1"/>
  <c r="D48" i="7"/>
  <c r="D13" i="10"/>
  <c r="Q67" i="17"/>
  <c r="AB58" i="11" s="1"/>
  <c r="AB63" i="11" s="1"/>
  <c r="Q63" i="17"/>
  <c r="AF81" i="11" s="1"/>
  <c r="AF86" i="11" s="1"/>
  <c r="P75" i="17"/>
  <c r="R52" i="17"/>
  <c r="R61" i="17"/>
  <c r="R66" i="17"/>
  <c r="J21" i="2"/>
  <c r="J18" i="2"/>
  <c r="D4" i="4"/>
  <c r="J22" i="2"/>
  <c r="J19" i="2"/>
  <c r="J20" i="2"/>
  <c r="J15" i="2"/>
  <c r="F65" i="25" s="1"/>
  <c r="F67" i="25" s="1"/>
  <c r="AA187" i="27"/>
  <c r="AB185" i="27"/>
  <c r="AC182" i="27"/>
  <c r="AC184" i="27" s="1"/>
  <c r="AA69" i="11"/>
  <c r="AA74" i="11" s="1"/>
  <c r="R72" i="17"/>
  <c r="Q74" i="17"/>
  <c r="Q75" i="17" s="1"/>
  <c r="AD184" i="27"/>
  <c r="AE110" i="27"/>
  <c r="AE112" i="27" s="1"/>
  <c r="AC47" i="11"/>
  <c r="AC52" i="11" s="1"/>
  <c r="S42" i="17"/>
  <c r="AF104" i="27" s="1"/>
  <c r="S45" i="17"/>
  <c r="S48" i="17" s="1"/>
  <c r="S51" i="17" s="1"/>
  <c r="R62" i="17" l="1"/>
  <c r="R67" i="17" s="1"/>
  <c r="AC58" i="11" s="1"/>
  <c r="AC63" i="11" s="1"/>
  <c r="AF107" i="27"/>
  <c r="AF109" i="27" s="1"/>
  <c r="S53" i="17"/>
  <c r="S60" i="17" s="1"/>
  <c r="BD90" i="22"/>
  <c r="X60" i="18"/>
  <c r="X61" i="18" s="1"/>
  <c r="X65" i="18"/>
  <c r="X53" i="18"/>
  <c r="AS71" i="18"/>
  <c r="AR73" i="18"/>
  <c r="AR74" i="18" s="1"/>
  <c r="Y41" i="18"/>
  <c r="Y46" i="18"/>
  <c r="AB69" i="11"/>
  <c r="Q68" i="17"/>
  <c r="Q69" i="17" s="1"/>
  <c r="AB187" i="27"/>
  <c r="AC185" i="27"/>
  <c r="S72" i="17"/>
  <c r="R74" i="17"/>
  <c r="R75" i="17" s="1"/>
  <c r="AA75" i="11"/>
  <c r="D6" i="4"/>
  <c r="D20" i="10"/>
  <c r="D21" i="10"/>
  <c r="D18" i="7"/>
  <c r="AU146" i="27"/>
  <c r="AU148" i="27" s="1"/>
  <c r="AE113" i="27"/>
  <c r="AE115" i="27" s="1"/>
  <c r="AV140" i="27"/>
  <c r="AV142" i="27" s="1"/>
  <c r="S52" i="17"/>
  <c r="S66" i="17"/>
  <c r="S61" i="17"/>
  <c r="T46" i="17"/>
  <c r="T47" i="17"/>
  <c r="AE182" i="27"/>
  <c r="AE184" i="27" s="1"/>
  <c r="D16" i="9"/>
  <c r="R63" i="17" l="1"/>
  <c r="AG81" i="11" s="1"/>
  <c r="AG86" i="11" s="1"/>
  <c r="S62" i="17"/>
  <c r="S63" i="17" s="1"/>
  <c r="AH81" i="11" s="1"/>
  <c r="AH86" i="11" s="1"/>
  <c r="AS73" i="18"/>
  <c r="AS74" i="18" s="1"/>
  <c r="AT71" i="18"/>
  <c r="Y42" i="18"/>
  <c r="Y47" i="18"/>
  <c r="X62" i="18"/>
  <c r="AY82" i="11" s="1"/>
  <c r="X66" i="18"/>
  <c r="AQ59" i="11" s="1"/>
  <c r="AQ70" i="11" s="1"/>
  <c r="AB74" i="11"/>
  <c r="AB75" i="11" s="1"/>
  <c r="R68" i="17"/>
  <c r="R69" i="17" s="1"/>
  <c r="AC69" i="11"/>
  <c r="D4" i="10"/>
  <c r="D23" i="4"/>
  <c r="C30" i="2" s="1"/>
  <c r="C31" i="2" s="1"/>
  <c r="AC187" i="27"/>
  <c r="AD185" i="27"/>
  <c r="AD187" i="27" s="1"/>
  <c r="T72" i="17"/>
  <c r="S74" i="17"/>
  <c r="S75" i="17" s="1"/>
  <c r="D14" i="10"/>
  <c r="D15" i="10"/>
  <c r="D18" i="10" s="1"/>
  <c r="D19" i="10" s="1"/>
  <c r="D47" i="7"/>
  <c r="D50" i="7" s="1"/>
  <c r="D51" i="7" s="1"/>
  <c r="D7" i="9" s="1"/>
  <c r="AV143" i="27"/>
  <c r="AV145" i="27" s="1"/>
  <c r="S67" i="17"/>
  <c r="AD58" i="11" s="1"/>
  <c r="AD63" i="11" s="1"/>
  <c r="AF110" i="27"/>
  <c r="AF112" i="27" s="1"/>
  <c r="AT48" i="11"/>
  <c r="T42" i="17"/>
  <c r="AG104" i="27" s="1"/>
  <c r="T45" i="17"/>
  <c r="T48" i="17" s="1"/>
  <c r="T51" i="17" s="1"/>
  <c r="AD47" i="11"/>
  <c r="AD52" i="11" s="1"/>
  <c r="D37" i="7"/>
  <c r="D23" i="10"/>
  <c r="D17" i="9"/>
  <c r="AG107" i="27" l="1"/>
  <c r="AG109" i="27" s="1"/>
  <c r="T53" i="17"/>
  <c r="T60" i="17" s="1"/>
  <c r="Z40" i="18"/>
  <c r="Y48" i="18"/>
  <c r="Y49" i="18" s="1"/>
  <c r="Y52" i="18" s="1"/>
  <c r="Y43" i="18"/>
  <c r="AT137" i="27" s="1"/>
  <c r="AU71" i="18"/>
  <c r="AT73" i="18"/>
  <c r="AT74" i="18" s="1"/>
  <c r="X67" i="18"/>
  <c r="X68" i="18" s="1"/>
  <c r="AC74" i="11"/>
  <c r="AC75" i="11" s="1"/>
  <c r="AE185" i="27"/>
  <c r="AE187" i="27" s="1"/>
  <c r="D27" i="4"/>
  <c r="D5" i="10"/>
  <c r="D40" i="10"/>
  <c r="T74" i="17"/>
  <c r="T75" i="17" s="1"/>
  <c r="U72" i="17"/>
  <c r="AF182" i="27"/>
  <c r="S68" i="17"/>
  <c r="AD69" i="11"/>
  <c r="AD74" i="11" s="1"/>
  <c r="U47" i="17"/>
  <c r="U46" i="17"/>
  <c r="T61" i="17"/>
  <c r="T52" i="17"/>
  <c r="T66" i="17"/>
  <c r="T62" i="17" l="1"/>
  <c r="T63" i="17" s="1"/>
  <c r="AI81" i="11" s="1"/>
  <c r="AI86" i="11" s="1"/>
  <c r="AU73" i="18"/>
  <c r="AU74" i="18" s="1"/>
  <c r="AV71" i="18"/>
  <c r="Y53" i="18"/>
  <c r="Y65" i="18"/>
  <c r="Y60" i="18"/>
  <c r="Y61" i="18" s="1"/>
  <c r="Z41" i="18"/>
  <c r="Z46" i="18"/>
  <c r="V72" i="17"/>
  <c r="U74" i="17"/>
  <c r="U75" i="17" s="1"/>
  <c r="D29" i="4"/>
  <c r="D24" i="10" s="1"/>
  <c r="D25" i="4"/>
  <c r="AF184" i="27"/>
  <c r="AF185" i="27"/>
  <c r="AF187" i="27" s="1"/>
  <c r="AD75" i="11"/>
  <c r="S69" i="17"/>
  <c r="AF113" i="27"/>
  <c r="AF115" i="27" s="1"/>
  <c r="AW140" i="27"/>
  <c r="AW142" i="27" s="1"/>
  <c r="AG110" i="27"/>
  <c r="AG112" i="27" s="1"/>
  <c r="U42" i="17"/>
  <c r="AH104" i="27" s="1"/>
  <c r="U45" i="17"/>
  <c r="U48" i="17" s="1"/>
  <c r="U51" i="17" s="1"/>
  <c r="AE47" i="11"/>
  <c r="AE52" i="11" s="1"/>
  <c r="T67" i="17" l="1"/>
  <c r="AE58" i="11" s="1"/>
  <c r="AE63" i="11" s="1"/>
  <c r="AH107" i="27"/>
  <c r="AH109" i="27" s="1"/>
  <c r="U53" i="17"/>
  <c r="U60" i="17" s="1"/>
  <c r="Z42" i="18"/>
  <c r="Z47" i="18"/>
  <c r="AW71" i="18"/>
  <c r="AV73" i="18"/>
  <c r="AV74" i="18" s="1"/>
  <c r="Y62" i="18"/>
  <c r="AZ82" i="11" s="1"/>
  <c r="Y66" i="18"/>
  <c r="AR59" i="11" s="1"/>
  <c r="AR70" i="11" s="1"/>
  <c r="V74" i="17"/>
  <c r="V75" i="17" s="1"/>
  <c r="W72" i="17"/>
  <c r="D30" i="4"/>
  <c r="D38" i="7" s="1"/>
  <c r="AW143" i="27"/>
  <c r="AW145" i="27" s="1"/>
  <c r="AU48" i="11"/>
  <c r="AG182" i="27"/>
  <c r="U52" i="17"/>
  <c r="U61" i="17"/>
  <c r="U62" i="17" s="1"/>
  <c r="U63" i="17" s="1"/>
  <c r="AJ81" i="11" s="1"/>
  <c r="AJ86" i="11" s="1"/>
  <c r="U66" i="17"/>
  <c r="V46" i="17"/>
  <c r="V47" i="17"/>
  <c r="AE69" i="11" l="1"/>
  <c r="AE74" i="11" s="1"/>
  <c r="AE75" i="11" s="1"/>
  <c r="T68" i="17"/>
  <c r="AG113" i="27" s="1"/>
  <c r="AG115" i="27" s="1"/>
  <c r="Y67" i="18"/>
  <c r="Y68" i="18" s="1"/>
  <c r="AW73" i="18"/>
  <c r="AW74" i="18" s="1"/>
  <c r="AX71" i="18"/>
  <c r="Z43" i="18"/>
  <c r="AU137" i="27" s="1"/>
  <c r="AA40" i="18"/>
  <c r="Z48" i="18"/>
  <c r="Z49" i="18" s="1"/>
  <c r="Z52" i="18" s="1"/>
  <c r="D5" i="9"/>
  <c r="D8" i="9" s="1"/>
  <c r="D19" i="9" s="1"/>
  <c r="D21" i="9" s="1"/>
  <c r="D22" i="10"/>
  <c r="D39" i="7"/>
  <c r="D6" i="10"/>
  <c r="W74" i="17"/>
  <c r="W75" i="17" s="1"/>
  <c r="X72" i="17"/>
  <c r="U67" i="17"/>
  <c r="AF58" i="11" s="1"/>
  <c r="AF63" i="11" s="1"/>
  <c r="AH110" i="27"/>
  <c r="AH112" i="27" s="1"/>
  <c r="AG184" i="27"/>
  <c r="AG185" i="27"/>
  <c r="V42" i="17"/>
  <c r="AI104" i="27" s="1"/>
  <c r="V45" i="17"/>
  <c r="V48" i="17" s="1"/>
  <c r="V51" i="17" s="1"/>
  <c r="AF47" i="11"/>
  <c r="AF52" i="11" s="1"/>
  <c r="T69" i="17" l="1"/>
  <c r="AI107" i="27"/>
  <c r="AI109" i="27" s="1"/>
  <c r="V53" i="17"/>
  <c r="V60" i="17" s="1"/>
  <c r="AA46" i="18"/>
  <c r="AA41" i="18"/>
  <c r="AY71" i="18"/>
  <c r="AX73" i="18"/>
  <c r="AX74" i="18" s="1"/>
  <c r="Z65" i="18"/>
  <c r="Z53" i="18"/>
  <c r="Z60" i="18"/>
  <c r="Z61" i="18" s="1"/>
  <c r="D33" i="10"/>
  <c r="D40" i="7"/>
  <c r="D35" i="10"/>
  <c r="X74" i="17"/>
  <c r="X75" i="17" s="1"/>
  <c r="Y72" i="17"/>
  <c r="D23" i="9"/>
  <c r="D17" i="7"/>
  <c r="D21" i="7" s="1"/>
  <c r="D25" i="7" s="1"/>
  <c r="E20" i="9"/>
  <c r="AW146" i="27"/>
  <c r="AW148" i="27" s="1"/>
  <c r="U68" i="17"/>
  <c r="U69" i="17" s="1"/>
  <c r="AX140" i="27"/>
  <c r="AX142" i="27" s="1"/>
  <c r="AG187" i="27"/>
  <c r="W47" i="17"/>
  <c r="W46" i="17"/>
  <c r="AH182" i="27"/>
  <c r="AH184" i="27" s="1"/>
  <c r="AF69" i="11"/>
  <c r="AF74" i="11" s="1"/>
  <c r="V66" i="17"/>
  <c r="V61" i="17"/>
  <c r="V52" i="17"/>
  <c r="D42" i="7" l="1"/>
  <c r="V62" i="17"/>
  <c r="V63" i="17" s="1"/>
  <c r="AK81" i="11" s="1"/>
  <c r="AK86" i="11" s="1"/>
  <c r="Z62" i="18"/>
  <c r="BA82" i="11" s="1"/>
  <c r="Z66" i="18"/>
  <c r="AS59" i="11" s="1"/>
  <c r="AS70" i="11" s="1"/>
  <c r="AY73" i="18"/>
  <c r="AY74" i="18" s="1"/>
  <c r="AZ71" i="18"/>
  <c r="AA42" i="18"/>
  <c r="AA47" i="18"/>
  <c r="D28" i="10"/>
  <c r="D29" i="10"/>
  <c r="Y74" i="17"/>
  <c r="B77" i="17" s="1"/>
  <c r="E98" i="27" s="1"/>
  <c r="E100" i="27" s="1"/>
  <c r="Z72" i="17"/>
  <c r="AH113" i="27"/>
  <c r="AH115" i="27" s="1"/>
  <c r="AV48" i="11"/>
  <c r="V67" i="17"/>
  <c r="AG58" i="11" s="1"/>
  <c r="AG63" i="11" s="1"/>
  <c r="AI110" i="27"/>
  <c r="AI112" i="27" s="1"/>
  <c r="AH185" i="27"/>
  <c r="AX143" i="27"/>
  <c r="AX145" i="27" s="1"/>
  <c r="AF75" i="11"/>
  <c r="AG47" i="11"/>
  <c r="AG52" i="11" s="1"/>
  <c r="W45" i="17"/>
  <c r="W48" i="17" s="1"/>
  <c r="W51" i="17" s="1"/>
  <c r="W42" i="17"/>
  <c r="AJ104" i="27" s="1"/>
  <c r="AJ107" i="27" l="1"/>
  <c r="AJ109" i="27" s="1"/>
  <c r="W53" i="17"/>
  <c r="W60" i="17" s="1"/>
  <c r="AZ73" i="18"/>
  <c r="AZ74" i="18" s="1"/>
  <c r="BA71" i="18"/>
  <c r="Z67" i="18"/>
  <c r="Z68" i="18" s="1"/>
  <c r="AB40" i="18"/>
  <c r="AA48" i="18"/>
  <c r="AA49" i="18" s="1"/>
  <c r="AA52" i="18" s="1"/>
  <c r="AA43" i="18"/>
  <c r="AV137" i="27" s="1"/>
  <c r="Z74" i="17"/>
  <c r="AA72" i="17"/>
  <c r="D11" i="10"/>
  <c r="D34" i="10"/>
  <c r="D36" i="10"/>
  <c r="D10" i="10"/>
  <c r="Y75" i="17"/>
  <c r="V68" i="17"/>
  <c r="AI113" i="27" s="1"/>
  <c r="AI115" i="27" s="1"/>
  <c r="AH187" i="27"/>
  <c r="X47" i="17"/>
  <c r="X46" i="17"/>
  <c r="W52" i="17"/>
  <c r="W66" i="17"/>
  <c r="W61" i="17"/>
  <c r="W62" i="17" s="1"/>
  <c r="W63" i="17" s="1"/>
  <c r="AL81" i="11" s="1"/>
  <c r="AG69" i="11"/>
  <c r="AG74" i="11" s="1"/>
  <c r="AI182" i="27"/>
  <c r="AI184" i="27" s="1"/>
  <c r="AB46" i="18" l="1"/>
  <c r="AB41" i="18"/>
  <c r="BB71" i="18"/>
  <c r="BA73" i="18"/>
  <c r="BA74" i="18" s="1"/>
  <c r="AA60" i="18"/>
  <c r="AA61" i="18" s="1"/>
  <c r="AA53" i="18"/>
  <c r="AA65" i="18"/>
  <c r="AL86" i="11"/>
  <c r="D98" i="11" s="1"/>
  <c r="E5" i="4" s="1"/>
  <c r="D93" i="11"/>
  <c r="B78" i="17"/>
  <c r="E101" i="27" s="1"/>
  <c r="E103" i="27" s="1"/>
  <c r="E106" i="27" s="1"/>
  <c r="Z75" i="17"/>
  <c r="AA74" i="17"/>
  <c r="AB72" i="17"/>
  <c r="V69" i="17"/>
  <c r="AI185" i="27"/>
  <c r="AY140" i="27"/>
  <c r="AY142" i="27" s="1"/>
  <c r="W67" i="17"/>
  <c r="AH58" i="11" s="1"/>
  <c r="AH63" i="11" s="1"/>
  <c r="AJ110" i="27"/>
  <c r="AJ112" i="27" s="1"/>
  <c r="AX146" i="27"/>
  <c r="AX148" i="27" s="1"/>
  <c r="AG75" i="11"/>
  <c r="AH47" i="11"/>
  <c r="AH52" i="11" s="1"/>
  <c r="X45" i="17"/>
  <c r="X48" i="17" s="1"/>
  <c r="X51" i="17" s="1"/>
  <c r="X42" i="17"/>
  <c r="AK104" i="27" s="1"/>
  <c r="AK107" i="27" l="1"/>
  <c r="AK109" i="27" s="1"/>
  <c r="X53" i="17"/>
  <c r="X60" i="17" s="1"/>
  <c r="BC71" i="18"/>
  <c r="BB73" i="18"/>
  <c r="BB74" i="18" s="1"/>
  <c r="AB42" i="18"/>
  <c r="AB47" i="18"/>
  <c r="AA62" i="18"/>
  <c r="BB82" i="11" s="1"/>
  <c r="AA66" i="18"/>
  <c r="AT59" i="11" s="1"/>
  <c r="AT70" i="11" s="1"/>
  <c r="AA75" i="17"/>
  <c r="AB74" i="17"/>
  <c r="AC72" i="17"/>
  <c r="W68" i="17"/>
  <c r="AY143" i="27"/>
  <c r="AY145" i="27" s="1"/>
  <c r="AW48" i="11"/>
  <c r="AI187" i="27"/>
  <c r="AJ182" i="27"/>
  <c r="AJ184" i="27" s="1"/>
  <c r="AH69" i="11"/>
  <c r="AH74" i="11" s="1"/>
  <c r="Y46" i="17"/>
  <c r="Y47" i="17"/>
  <c r="X52" i="17"/>
  <c r="X61" i="17"/>
  <c r="X66" i="17"/>
  <c r="X62" i="17" l="1"/>
  <c r="X63" i="17" s="1"/>
  <c r="AM81" i="11" s="1"/>
  <c r="AM86" i="11" s="1"/>
  <c r="AA67" i="18"/>
  <c r="AA68" i="18" s="1"/>
  <c r="AB48" i="18"/>
  <c r="AB49" i="18" s="1"/>
  <c r="AB52" i="18" s="1"/>
  <c r="AC40" i="18"/>
  <c r="AB43" i="18"/>
  <c r="AW137" i="27" s="1"/>
  <c r="BC73" i="18"/>
  <c r="BC74" i="18" s="1"/>
  <c r="BD71" i="18"/>
  <c r="BD73" i="18" s="1"/>
  <c r="AV146" i="27"/>
  <c r="AV148" i="27" s="1"/>
  <c r="AB75" i="17"/>
  <c r="AC74" i="17"/>
  <c r="AD72" i="17"/>
  <c r="AJ185" i="27"/>
  <c r="AJ187" i="27" s="1"/>
  <c r="X67" i="17"/>
  <c r="AI58" i="11" s="1"/>
  <c r="AI63" i="11" s="1"/>
  <c r="AK110" i="27"/>
  <c r="AK112" i="27" s="1"/>
  <c r="W69" i="17"/>
  <c r="AJ113" i="27"/>
  <c r="AJ115" i="27" s="1"/>
  <c r="AH75" i="11"/>
  <c r="Y45" i="17"/>
  <c r="Y48" i="17" s="1"/>
  <c r="Y51" i="17" s="1"/>
  <c r="Y42" i="17"/>
  <c r="AL104" i="27" s="1"/>
  <c r="AI47" i="11"/>
  <c r="AI52" i="11" s="1"/>
  <c r="AL107" i="27" l="1"/>
  <c r="AL109" i="27" s="1"/>
  <c r="Y53" i="17"/>
  <c r="Y60" i="17" s="1"/>
  <c r="BD74" i="18"/>
  <c r="AC46" i="18"/>
  <c r="AC41" i="18"/>
  <c r="AB53" i="18"/>
  <c r="AB65" i="18"/>
  <c r="AB60" i="18"/>
  <c r="AB61" i="18" s="1"/>
  <c r="AC75" i="17"/>
  <c r="AE72" i="17"/>
  <c r="AD74" i="17"/>
  <c r="AZ140" i="27"/>
  <c r="AZ142" i="27" s="1"/>
  <c r="X68" i="17"/>
  <c r="AY146" i="27"/>
  <c r="AY148" i="27" s="1"/>
  <c r="Y61" i="17"/>
  <c r="Y66" i="17"/>
  <c r="Y52" i="17"/>
  <c r="Z47" i="17"/>
  <c r="Z46" i="17"/>
  <c r="AI69" i="11"/>
  <c r="AI74" i="11" s="1"/>
  <c r="AK182" i="27"/>
  <c r="Y62" i="17" l="1"/>
  <c r="Y63" i="17" s="1"/>
  <c r="AN81" i="11" s="1"/>
  <c r="AN86" i="11" s="1"/>
  <c r="AC42" i="18"/>
  <c r="AC47" i="18"/>
  <c r="AB62" i="18"/>
  <c r="BC82" i="11" s="1"/>
  <c r="AB66" i="18"/>
  <c r="AU59" i="11" s="1"/>
  <c r="AU70" i="11" s="1"/>
  <c r="AD75" i="17"/>
  <c r="AF72" i="17"/>
  <c r="AE74" i="17"/>
  <c r="AZ143" i="27"/>
  <c r="AZ145" i="27" s="1"/>
  <c r="X69" i="17"/>
  <c r="AK113" i="27"/>
  <c r="AK115" i="27" s="1"/>
  <c r="AK184" i="27"/>
  <c r="AK185" i="27"/>
  <c r="AL110" i="27"/>
  <c r="AL112" i="27" s="1"/>
  <c r="AX48" i="11"/>
  <c r="AI75" i="11"/>
  <c r="AA46" i="17"/>
  <c r="AA47" i="17"/>
  <c r="AJ47" i="11"/>
  <c r="AJ52" i="11" s="1"/>
  <c r="Z45" i="17"/>
  <c r="Z48" i="17" s="1"/>
  <c r="Z51" i="17" s="1"/>
  <c r="Z42" i="17"/>
  <c r="AM104" i="27" s="1"/>
  <c r="Y67" i="17" l="1"/>
  <c r="AJ58" i="11" s="1"/>
  <c r="AJ63" i="11" s="1"/>
  <c r="AM107" i="27"/>
  <c r="AM109" i="27" s="1"/>
  <c r="Z53" i="17"/>
  <c r="Z60" i="17" s="1"/>
  <c r="AB67" i="18"/>
  <c r="AB68" i="18" s="1"/>
  <c r="AD40" i="18"/>
  <c r="AC43" i="18"/>
  <c r="AX137" i="27" s="1"/>
  <c r="AC48" i="18"/>
  <c r="AC49" i="18" s="1"/>
  <c r="AC52" i="18" s="1"/>
  <c r="AE75" i="17"/>
  <c r="AG72" i="17"/>
  <c r="AF74" i="17"/>
  <c r="AL113" i="27"/>
  <c r="AL115" i="27" s="1"/>
  <c r="L24" i="11"/>
  <c r="AK187" i="27"/>
  <c r="AZ146" i="27"/>
  <c r="AZ148" i="27" s="1"/>
  <c r="Z66" i="17"/>
  <c r="Z52" i="17"/>
  <c r="Z61" i="17"/>
  <c r="AB46" i="17"/>
  <c r="AB47" i="17"/>
  <c r="AA45" i="17"/>
  <c r="AA48" i="17" s="1"/>
  <c r="AA51" i="17" s="1"/>
  <c r="AA42" i="17"/>
  <c r="AN104" i="27" s="1"/>
  <c r="AL182" i="27"/>
  <c r="AL184" i="27" s="1"/>
  <c r="Y68" i="17" l="1"/>
  <c r="Y69" i="17" s="1"/>
  <c r="AJ69" i="11"/>
  <c r="AJ74" i="11" s="1"/>
  <c r="AJ75" i="11" s="1"/>
  <c r="Z62" i="17"/>
  <c r="Z63" i="17" s="1"/>
  <c r="AO81" i="11" s="1"/>
  <c r="AO86" i="11" s="1"/>
  <c r="AN107" i="27"/>
  <c r="AN109" i="27" s="1"/>
  <c r="AA53" i="17"/>
  <c r="AA60" i="17" s="1"/>
  <c r="AC65" i="18"/>
  <c r="AC53" i="18"/>
  <c r="AC60" i="18"/>
  <c r="AC61" i="18" s="1"/>
  <c r="AD41" i="18"/>
  <c r="AD46" i="18"/>
  <c r="AF75" i="17"/>
  <c r="AG74" i="17"/>
  <c r="AH72" i="17"/>
  <c r="AL185" i="27"/>
  <c r="AL187" i="27" s="1"/>
  <c r="Z67" i="17"/>
  <c r="AK58" i="11" s="1"/>
  <c r="AK63" i="11" s="1"/>
  <c r="AM110" i="27"/>
  <c r="AM112" i="27" s="1"/>
  <c r="E8" i="11"/>
  <c r="BA140" i="27"/>
  <c r="BA142" i="27" s="1"/>
  <c r="AA66" i="17"/>
  <c r="AA61" i="17"/>
  <c r="AA52" i="17"/>
  <c r="AC46" i="17"/>
  <c r="AC47" i="17"/>
  <c r="AB45" i="17"/>
  <c r="AB48" i="17" s="1"/>
  <c r="AB51" i="17" s="1"/>
  <c r="AB42" i="17"/>
  <c r="AO104" i="27" s="1"/>
  <c r="AK47" i="11"/>
  <c r="AK52" i="11" s="1"/>
  <c r="AA62" i="17" l="1"/>
  <c r="AA63" i="17" s="1"/>
  <c r="AP81" i="11" s="1"/>
  <c r="AP86" i="11" s="1"/>
  <c r="AO107" i="27"/>
  <c r="AO109" i="27" s="1"/>
  <c r="AB53" i="17"/>
  <c r="AB60" i="17" s="1"/>
  <c r="AC62" i="18"/>
  <c r="BD82" i="11" s="1"/>
  <c r="AC66" i="18"/>
  <c r="AV59" i="11" s="1"/>
  <c r="AV70" i="11" s="1"/>
  <c r="AD42" i="18"/>
  <c r="AD47" i="18"/>
  <c r="AG75" i="17"/>
  <c r="AH74" i="17"/>
  <c r="AI72" i="17"/>
  <c r="Z68" i="17"/>
  <c r="Z69" i="17" s="1"/>
  <c r="AM113" i="27"/>
  <c r="AM115" i="27" s="1"/>
  <c r="AY48" i="11"/>
  <c r="AA67" i="17"/>
  <c r="AL58" i="11" s="1"/>
  <c r="AL63" i="11" s="1"/>
  <c r="AN110" i="27"/>
  <c r="AN112" i="27" s="1"/>
  <c r="BA143" i="27"/>
  <c r="BA145" i="27" s="1"/>
  <c r="AB66" i="17"/>
  <c r="AB61" i="17"/>
  <c r="AB52" i="17"/>
  <c r="AD47" i="17"/>
  <c r="AD46" i="17"/>
  <c r="AM182" i="27"/>
  <c r="AK69" i="11"/>
  <c r="AK74" i="11" s="1"/>
  <c r="AC45" i="17"/>
  <c r="AC48" i="17" s="1"/>
  <c r="AC51" i="17" s="1"/>
  <c r="AC42" i="17"/>
  <c r="AP104" i="27" s="1"/>
  <c r="AL47" i="11"/>
  <c r="AL52" i="11" s="1"/>
  <c r="AP107" i="27" l="1"/>
  <c r="AP109" i="27" s="1"/>
  <c r="AC53" i="17"/>
  <c r="AC60" i="17" s="1"/>
  <c r="AB62" i="17"/>
  <c r="AB63" i="17" s="1"/>
  <c r="AQ81" i="11" s="1"/>
  <c r="AQ86" i="11" s="1"/>
  <c r="AC67" i="18"/>
  <c r="AC68" i="18" s="1"/>
  <c r="AE40" i="18"/>
  <c r="AD48" i="18"/>
  <c r="AD49" i="18" s="1"/>
  <c r="AD52" i="18" s="1"/>
  <c r="AD43" i="18"/>
  <c r="AY137" i="27" s="1"/>
  <c r="AH75" i="17"/>
  <c r="AI74" i="17"/>
  <c r="AJ72" i="17"/>
  <c r="K20" i="11"/>
  <c r="D18" i="11" s="1"/>
  <c r="D23" i="11" s="1"/>
  <c r="AN182" i="27"/>
  <c r="AN184" i="27" s="1"/>
  <c r="AA68" i="17"/>
  <c r="AA69" i="17" s="1"/>
  <c r="AO110" i="27"/>
  <c r="AO112" i="27" s="1"/>
  <c r="AM184" i="27"/>
  <c r="AM185" i="27"/>
  <c r="AN113" i="27"/>
  <c r="AN115" i="27" s="1"/>
  <c r="AE47" i="17"/>
  <c r="AE46" i="17"/>
  <c r="AC52" i="17"/>
  <c r="AC61" i="17"/>
  <c r="AC66" i="17"/>
  <c r="K19" i="11"/>
  <c r="AL69" i="11"/>
  <c r="AL74" i="11" s="1"/>
  <c r="AK75" i="11"/>
  <c r="AD42" i="17"/>
  <c r="AQ104" i="27" s="1"/>
  <c r="AD45" i="17"/>
  <c r="AD48" i="17" s="1"/>
  <c r="AD51" i="17" s="1"/>
  <c r="AM47" i="11"/>
  <c r="AM52" i="11" s="1"/>
  <c r="AC62" i="17" l="1"/>
  <c r="AC63" i="17" s="1"/>
  <c r="AR81" i="11" s="1"/>
  <c r="AR86" i="11" s="1"/>
  <c r="AQ107" i="27"/>
  <c r="AQ109" i="27" s="1"/>
  <c r="AD53" i="17"/>
  <c r="AD60" i="17" s="1"/>
  <c r="AB67" i="17"/>
  <c r="AM58" i="11" s="1"/>
  <c r="AM63" i="11" s="1"/>
  <c r="AE41" i="18"/>
  <c r="AE46" i="18"/>
  <c r="AD65" i="18"/>
  <c r="AD60" i="18"/>
  <c r="AD61" i="18" s="1"/>
  <c r="AD53" i="18"/>
  <c r="AI75" i="17"/>
  <c r="AJ74" i="17"/>
  <c r="AK72" i="17"/>
  <c r="AL75" i="11"/>
  <c r="BA146" i="27"/>
  <c r="BA148" i="27" s="1"/>
  <c r="AP110" i="27"/>
  <c r="AP112" i="27" s="1"/>
  <c r="AN185" i="27"/>
  <c r="AM187" i="27"/>
  <c r="AO113" i="27"/>
  <c r="AO115" i="27" s="1"/>
  <c r="BB140" i="27"/>
  <c r="BB142" i="27" s="1"/>
  <c r="AD61" i="17"/>
  <c r="AD52" i="17"/>
  <c r="AD66" i="17"/>
  <c r="AN47" i="11"/>
  <c r="AN52" i="11" s="1"/>
  <c r="AF46" i="17"/>
  <c r="AF47" i="17"/>
  <c r="AE45" i="17"/>
  <c r="AE48" i="17" s="1"/>
  <c r="AE51" i="17" s="1"/>
  <c r="AE42" i="17"/>
  <c r="AR104" i="27" s="1"/>
  <c r="AM69" i="11"/>
  <c r="AM74" i="11" s="1"/>
  <c r="AO182" i="27"/>
  <c r="AO184" i="27" s="1"/>
  <c r="D7" i="11"/>
  <c r="D12" i="11" s="1"/>
  <c r="K21" i="11"/>
  <c r="D29" i="11" s="1"/>
  <c r="D34" i="11" s="1"/>
  <c r="AD62" i="17" l="1"/>
  <c r="AD63" i="17" s="1"/>
  <c r="AS81" i="11" s="1"/>
  <c r="AS86" i="11" s="1"/>
  <c r="AC67" i="17"/>
  <c r="AN58" i="11" s="1"/>
  <c r="AN63" i="11" s="1"/>
  <c r="AB68" i="17"/>
  <c r="AB69" i="17" s="1"/>
  <c r="AR107" i="27"/>
  <c r="AR109" i="27" s="1"/>
  <c r="AE53" i="17"/>
  <c r="AE60" i="17" s="1"/>
  <c r="AD62" i="18"/>
  <c r="BE82" i="11" s="1"/>
  <c r="AD66" i="18"/>
  <c r="AW59" i="11" s="1"/>
  <c r="AW70" i="11" s="1"/>
  <c r="AE42" i="18"/>
  <c r="AE47" i="18"/>
  <c r="AJ75" i="17"/>
  <c r="AK74" i="17"/>
  <c r="AL72" i="17"/>
  <c r="E29" i="7"/>
  <c r="E16" i="10" s="1"/>
  <c r="E20" i="7"/>
  <c r="AQ110" i="27"/>
  <c r="AQ112" i="27" s="1"/>
  <c r="AO185" i="27"/>
  <c r="AN187" i="27"/>
  <c r="AZ48" i="11"/>
  <c r="BB143" i="27"/>
  <c r="BB145" i="27" s="1"/>
  <c r="E4" i="4"/>
  <c r="E18" i="7" s="1"/>
  <c r="K20" i="2"/>
  <c r="K19" i="2"/>
  <c r="K21" i="2"/>
  <c r="K22" i="2"/>
  <c r="K18" i="2"/>
  <c r="K15" i="2"/>
  <c r="G65" i="25" s="1"/>
  <c r="G67" i="25" s="1"/>
  <c r="AM75" i="11"/>
  <c r="AG46" i="17"/>
  <c r="AG47" i="17"/>
  <c r="AP182" i="27"/>
  <c r="AP184" i="27" s="1"/>
  <c r="AO47" i="11"/>
  <c r="AO52" i="11" s="1"/>
  <c r="AE66" i="17"/>
  <c r="AE61" i="17"/>
  <c r="AE52" i="17"/>
  <c r="AF45" i="17"/>
  <c r="AF48" i="17" s="1"/>
  <c r="AF51" i="17" s="1"/>
  <c r="AF42" i="17"/>
  <c r="AS104" i="27" s="1"/>
  <c r="AD67" i="17" l="1"/>
  <c r="AO58" i="11" s="1"/>
  <c r="AO63" i="11" s="1"/>
  <c r="AN69" i="11"/>
  <c r="AN74" i="11" s="1"/>
  <c r="AN75" i="11" s="1"/>
  <c r="AC68" i="17"/>
  <c r="AP113" i="27" s="1"/>
  <c r="AP115" i="27" s="1"/>
  <c r="AE62" i="17"/>
  <c r="AE63" i="17" s="1"/>
  <c r="AT81" i="11" s="1"/>
  <c r="AT86" i="11" s="1"/>
  <c r="AS107" i="27"/>
  <c r="AS109" i="27" s="1"/>
  <c r="AF53" i="17"/>
  <c r="AF60" i="17" s="1"/>
  <c r="AD67" i="18"/>
  <c r="AD68" i="18" s="1"/>
  <c r="AE43" i="18"/>
  <c r="AZ137" i="27" s="1"/>
  <c r="AF40" i="18"/>
  <c r="AE48" i="18"/>
  <c r="AE49" i="18" s="1"/>
  <c r="AE52" i="18" s="1"/>
  <c r="AK75" i="17"/>
  <c r="E20" i="10"/>
  <c r="AM72" i="17"/>
  <c r="AL74" i="17"/>
  <c r="E12" i="10"/>
  <c r="E13" i="10"/>
  <c r="E48" i="7"/>
  <c r="E17" i="10"/>
  <c r="E31" i="7"/>
  <c r="E34" i="7" s="1"/>
  <c r="E49" i="7"/>
  <c r="AD68" i="17"/>
  <c r="AD69" i="17" s="1"/>
  <c r="AR110" i="27"/>
  <c r="AR112" i="27" s="1"/>
  <c r="AP185" i="27"/>
  <c r="AO187" i="27"/>
  <c r="E6" i="4"/>
  <c r="E4" i="10" s="1"/>
  <c r="E21" i="10"/>
  <c r="AQ182" i="27"/>
  <c r="AQ184" i="27" s="1"/>
  <c r="AH46" i="17"/>
  <c r="AH47" i="17"/>
  <c r="E14" i="10"/>
  <c r="E47" i="7"/>
  <c r="E15" i="10"/>
  <c r="AP47" i="11"/>
  <c r="AP52" i="11" s="1"/>
  <c r="AG45" i="17"/>
  <c r="AG48" i="17" s="1"/>
  <c r="AG51" i="17" s="1"/>
  <c r="AG42" i="17"/>
  <c r="AT104" i="27" s="1"/>
  <c r="AF66" i="17"/>
  <c r="AF52" i="17"/>
  <c r="AF61" i="17"/>
  <c r="AO69" i="11" l="1"/>
  <c r="AO74" i="11" s="1"/>
  <c r="AO75" i="11" s="1"/>
  <c r="AC69" i="17"/>
  <c r="AF62" i="17"/>
  <c r="AF63" i="17" s="1"/>
  <c r="AU81" i="11" s="1"/>
  <c r="AU86" i="11" s="1"/>
  <c r="AE67" i="17"/>
  <c r="AP58" i="11" s="1"/>
  <c r="AP63" i="11" s="1"/>
  <c r="AT107" i="27"/>
  <c r="AT109" i="27" s="1"/>
  <c r="AG53" i="17"/>
  <c r="AG60" i="17" s="1"/>
  <c r="AF41" i="18"/>
  <c r="AF46" i="18"/>
  <c r="AE60" i="18"/>
  <c r="AE61" i="18" s="1"/>
  <c r="AE53" i="18"/>
  <c r="AE65" i="18"/>
  <c r="AL75" i="17"/>
  <c r="E50" i="7"/>
  <c r="E51" i="7" s="1"/>
  <c r="E7" i="9" s="1"/>
  <c r="E18" i="10"/>
  <c r="E19" i="10" s="1"/>
  <c r="AM74" i="17"/>
  <c r="AN72" i="17"/>
  <c r="BB146" i="27"/>
  <c r="BB148" i="27" s="1"/>
  <c r="AQ113" i="27"/>
  <c r="AQ115" i="27" s="1"/>
  <c r="AQ185" i="27"/>
  <c r="AP187" i="27"/>
  <c r="AR113" i="27"/>
  <c r="AR115" i="27" s="1"/>
  <c r="BC140" i="27"/>
  <c r="BC142" i="27" s="1"/>
  <c r="AS110" i="27"/>
  <c r="AS112" i="27" s="1"/>
  <c r="E23" i="4"/>
  <c r="D30" i="2" s="1"/>
  <c r="D31" i="2" s="1"/>
  <c r="AR182" i="27"/>
  <c r="AR184" i="27" s="1"/>
  <c r="AH45" i="17"/>
  <c r="AH48" i="17" s="1"/>
  <c r="AH51" i="17" s="1"/>
  <c r="AH42" i="17"/>
  <c r="AU104" i="27" s="1"/>
  <c r="AQ47" i="11"/>
  <c r="AQ52" i="11" s="1"/>
  <c r="AG52" i="17"/>
  <c r="AG66" i="17"/>
  <c r="AG61" i="17"/>
  <c r="AI46" i="17"/>
  <c r="AI47" i="17"/>
  <c r="AF67" i="17" l="1"/>
  <c r="AQ58" i="11" s="1"/>
  <c r="AQ63" i="11" s="1"/>
  <c r="AG62" i="17"/>
  <c r="AG63" i="17" s="1"/>
  <c r="AV81" i="11" s="1"/>
  <c r="AV86" i="11" s="1"/>
  <c r="AP69" i="11"/>
  <c r="AP74" i="11" s="1"/>
  <c r="AP75" i="11" s="1"/>
  <c r="AE68" i="17"/>
  <c r="AE69" i="17" s="1"/>
  <c r="AU107" i="27"/>
  <c r="AU109" i="27" s="1"/>
  <c r="AH53" i="17"/>
  <c r="AH60" i="17" s="1"/>
  <c r="AE62" i="18"/>
  <c r="BF82" i="11" s="1"/>
  <c r="AE66" i="18"/>
  <c r="AX59" i="11" s="1"/>
  <c r="AF42" i="18"/>
  <c r="AF47" i="18"/>
  <c r="AM75" i="17"/>
  <c r="AO72" i="17"/>
  <c r="AN74" i="17"/>
  <c r="AF68" i="17"/>
  <c r="AF69" i="17" s="1"/>
  <c r="E27" i="4"/>
  <c r="E29" i="4" s="1"/>
  <c r="E24" i="10" s="1"/>
  <c r="E40" i="10"/>
  <c r="E5" i="10"/>
  <c r="BC143" i="27"/>
  <c r="BC145" i="27" s="1"/>
  <c r="AT110" i="27"/>
  <c r="AT112" i="27" s="1"/>
  <c r="BA48" i="11"/>
  <c r="AS113" i="27"/>
  <c r="AS115" i="27" s="1"/>
  <c r="AR185" i="27"/>
  <c r="AQ187" i="27"/>
  <c r="AI45" i="17"/>
  <c r="AI48" i="17" s="1"/>
  <c r="AI51" i="17" s="1"/>
  <c r="AI42" i="17"/>
  <c r="AV104" i="27" s="1"/>
  <c r="AR47" i="11"/>
  <c r="AR52" i="11" s="1"/>
  <c r="AJ46" i="17"/>
  <c r="AJ47" i="17"/>
  <c r="AH66" i="17"/>
  <c r="AH52" i="17"/>
  <c r="AH61" i="17"/>
  <c r="AS182" i="27"/>
  <c r="AS184" i="27" s="1"/>
  <c r="AQ69" i="11"/>
  <c r="AQ74" i="11" s="1"/>
  <c r="E25" i="4"/>
  <c r="AG67" i="17" l="1"/>
  <c r="AR58" i="11" s="1"/>
  <c r="AR63" i="11" s="1"/>
  <c r="AV107" i="27"/>
  <c r="AV109" i="27" s="1"/>
  <c r="AI53" i="17"/>
  <c r="AI60" i="17" s="1"/>
  <c r="AH62" i="17"/>
  <c r="AH63" i="17" s="1"/>
  <c r="AW81" i="11" s="1"/>
  <c r="AW86" i="11" s="1"/>
  <c r="AE67" i="18"/>
  <c r="AE68" i="18" s="1"/>
  <c r="AG40" i="18"/>
  <c r="AF48" i="18"/>
  <c r="AF49" i="18" s="1"/>
  <c r="AF52" i="18" s="1"/>
  <c r="AF43" i="18"/>
  <c r="BA137" i="27" s="1"/>
  <c r="L25" i="11"/>
  <c r="AX70" i="11"/>
  <c r="AN75" i="17"/>
  <c r="AO74" i="17"/>
  <c r="AP72" i="17"/>
  <c r="AG68" i="17"/>
  <c r="AG69" i="17" s="1"/>
  <c r="AU110" i="27"/>
  <c r="AU112" i="27" s="1"/>
  <c r="AS185" i="27"/>
  <c r="AR187" i="27"/>
  <c r="E30" i="4"/>
  <c r="E22" i="10" s="1"/>
  <c r="AJ42" i="17"/>
  <c r="AW104" i="27" s="1"/>
  <c r="AJ45" i="17"/>
  <c r="AJ48" i="17" s="1"/>
  <c r="AJ51" i="17" s="1"/>
  <c r="AQ75" i="11"/>
  <c r="AS47" i="11"/>
  <c r="AS52" i="11" s="1"/>
  <c r="AT182" i="27"/>
  <c r="AT184" i="27" s="1"/>
  <c r="AK46" i="17"/>
  <c r="AK47" i="17"/>
  <c r="AI61" i="17"/>
  <c r="AI62" i="17" s="1"/>
  <c r="AI63" i="17" s="1"/>
  <c r="AX81" i="11" s="1"/>
  <c r="AX86" i="11" s="1"/>
  <c r="AI52" i="17"/>
  <c r="AI66" i="17"/>
  <c r="AR69" i="11" l="1"/>
  <c r="AR74" i="11" s="1"/>
  <c r="AR75" i="11" s="1"/>
  <c r="E98" i="11"/>
  <c r="F5" i="4" s="1"/>
  <c r="AH67" i="17"/>
  <c r="AS58" i="11" s="1"/>
  <c r="AS63" i="11" s="1"/>
  <c r="AW107" i="27"/>
  <c r="AW109" i="27" s="1"/>
  <c r="AJ53" i="17"/>
  <c r="AJ60" i="17" s="1"/>
  <c r="AF60" i="18"/>
  <c r="AF61" i="18" s="1"/>
  <c r="AF53" i="18"/>
  <c r="AF65" i="18"/>
  <c r="E19" i="11"/>
  <c r="L26" i="11"/>
  <c r="E30" i="11" s="1"/>
  <c r="AG41" i="18"/>
  <c r="AG46" i="18"/>
  <c r="E93" i="11"/>
  <c r="AO75" i="17"/>
  <c r="AQ72" i="17"/>
  <c r="AP74" i="17"/>
  <c r="AT113" i="27"/>
  <c r="AT115" i="27" s="1"/>
  <c r="AT185" i="27"/>
  <c r="AS187" i="27"/>
  <c r="BD140" i="27"/>
  <c r="BD142" i="27" s="1"/>
  <c r="AI67" i="17"/>
  <c r="AT58" i="11" s="1"/>
  <c r="AT63" i="11" s="1"/>
  <c r="AV110" i="27"/>
  <c r="AV112" i="27" s="1"/>
  <c r="BC146" i="27"/>
  <c r="BC148" i="27" s="1"/>
  <c r="E5" i="9"/>
  <c r="E8" i="9" s="1"/>
  <c r="E38" i="7"/>
  <c r="E37" i="7"/>
  <c r="E6" i="10"/>
  <c r="AK45" i="17"/>
  <c r="AK48" i="17" s="1"/>
  <c r="AK51" i="17" s="1"/>
  <c r="AK42" i="17"/>
  <c r="AX104" i="27" s="1"/>
  <c r="AU182" i="27"/>
  <c r="AU184" i="27" s="1"/>
  <c r="AT47" i="11"/>
  <c r="AT52" i="11" s="1"/>
  <c r="AL46" i="17"/>
  <c r="AL47" i="17"/>
  <c r="AJ61" i="17"/>
  <c r="AJ66" i="17"/>
  <c r="AJ52" i="17"/>
  <c r="AJ62" i="17" l="1"/>
  <c r="AJ63" i="17" s="1"/>
  <c r="AY81" i="11" s="1"/>
  <c r="AY86" i="11" s="1"/>
  <c r="AS69" i="11"/>
  <c r="AS74" i="11" s="1"/>
  <c r="AS75" i="11" s="1"/>
  <c r="AH68" i="17"/>
  <c r="AU113" i="27" s="1"/>
  <c r="AU115" i="27" s="1"/>
  <c r="AX107" i="27"/>
  <c r="AX109" i="27" s="1"/>
  <c r="AK53" i="17"/>
  <c r="AK60" i="17" s="1"/>
  <c r="AG47" i="18"/>
  <c r="AG42" i="18"/>
  <c r="AF62" i="18"/>
  <c r="BG82" i="11" s="1"/>
  <c r="AF66" i="18"/>
  <c r="AY59" i="11" s="1"/>
  <c r="AY70" i="11" s="1"/>
  <c r="AP75" i="17"/>
  <c r="AR72" i="17"/>
  <c r="AQ74" i="17"/>
  <c r="AJ67" i="17"/>
  <c r="AU58" i="11" s="1"/>
  <c r="AU63" i="11" s="1"/>
  <c r="AW110" i="27"/>
  <c r="AW112" i="27" s="1"/>
  <c r="BD143" i="27"/>
  <c r="BD145" i="27" s="1"/>
  <c r="AU185" i="27"/>
  <c r="AT187" i="27"/>
  <c r="AI68" i="17"/>
  <c r="BB48" i="11"/>
  <c r="E39" i="7"/>
  <c r="E35" i="10" s="1"/>
  <c r="E16" i="9"/>
  <c r="E17" i="9" s="1"/>
  <c r="E19" i="9" s="1"/>
  <c r="E21" i="9" s="1"/>
  <c r="AL45" i="17"/>
  <c r="AL48" i="17" s="1"/>
  <c r="AL51" i="17" s="1"/>
  <c r="AL42" i="17"/>
  <c r="AY104" i="27" s="1"/>
  <c r="AV182" i="27"/>
  <c r="AV184" i="27" s="1"/>
  <c r="AT69" i="11"/>
  <c r="AT74" i="11" s="1"/>
  <c r="AU47" i="11"/>
  <c r="AU52" i="11" s="1"/>
  <c r="AM46" i="17"/>
  <c r="AM47" i="17"/>
  <c r="AK52" i="17"/>
  <c r="AK61" i="17"/>
  <c r="AK66" i="17"/>
  <c r="AK62" i="17" l="1"/>
  <c r="AK63" i="17" s="1"/>
  <c r="AZ81" i="11" s="1"/>
  <c r="AZ86" i="11" s="1"/>
  <c r="AH69" i="17"/>
  <c r="AY107" i="27"/>
  <c r="AY109" i="27" s="1"/>
  <c r="AL53" i="17"/>
  <c r="AL60" i="17" s="1"/>
  <c r="AG43" i="18"/>
  <c r="BB137" i="27" s="1"/>
  <c r="AH40" i="18"/>
  <c r="AG48" i="18"/>
  <c r="AG49" i="18" s="1"/>
  <c r="AG52" i="18" s="1"/>
  <c r="AF67" i="18"/>
  <c r="AF68" i="18" s="1"/>
  <c r="AQ75" i="17"/>
  <c r="AJ68" i="17"/>
  <c r="AJ69" i="17" s="1"/>
  <c r="AR74" i="17"/>
  <c r="AS72" i="17"/>
  <c r="AW113" i="27"/>
  <c r="AW115" i="27" s="1"/>
  <c r="AV185" i="27"/>
  <c r="AU187" i="27"/>
  <c r="AX110" i="27"/>
  <c r="AX112" i="27" s="1"/>
  <c r="BD146" i="27"/>
  <c r="BD148" i="27" s="1"/>
  <c r="AI69" i="17"/>
  <c r="AV113" i="27"/>
  <c r="AV115" i="27" s="1"/>
  <c r="E40" i="7"/>
  <c r="E23" i="10"/>
  <c r="E33" i="10"/>
  <c r="AL52" i="17"/>
  <c r="AL66" i="17"/>
  <c r="AL61" i="17"/>
  <c r="AT75" i="11"/>
  <c r="AW182" i="27"/>
  <c r="AW184" i="27" s="1"/>
  <c r="AU69" i="11"/>
  <c r="AU74" i="11" s="1"/>
  <c r="AM45" i="17"/>
  <c r="AM48" i="17" s="1"/>
  <c r="AM51" i="17" s="1"/>
  <c r="AM42" i="17"/>
  <c r="AZ104" i="27" s="1"/>
  <c r="AV47" i="11"/>
  <c r="AV52" i="11" s="1"/>
  <c r="AN46" i="17"/>
  <c r="AN47" i="17"/>
  <c r="F20" i="9"/>
  <c r="E23" i="9"/>
  <c r="E17" i="7"/>
  <c r="E21" i="7" s="1"/>
  <c r="E25" i="7" s="1"/>
  <c r="E42" i="7" s="1"/>
  <c r="AK67" i="17" l="1"/>
  <c r="AV58" i="11" s="1"/>
  <c r="AV63" i="11" s="1"/>
  <c r="AZ107" i="27"/>
  <c r="AZ109" i="27" s="1"/>
  <c r="AM53" i="17"/>
  <c r="AM60" i="17" s="1"/>
  <c r="AL62" i="17"/>
  <c r="AL63" i="17" s="1"/>
  <c r="BA81" i="11" s="1"/>
  <c r="BA86" i="11" s="1"/>
  <c r="AG65" i="18"/>
  <c r="AG53" i="18"/>
  <c r="AG60" i="18"/>
  <c r="AG61" i="18" s="1"/>
  <c r="AH41" i="18"/>
  <c r="AH46" i="18"/>
  <c r="AR75" i="17"/>
  <c r="AS74" i="17"/>
  <c r="AT72" i="17"/>
  <c r="AK68" i="17"/>
  <c r="AK69" i="17" s="1"/>
  <c r="AX113" i="27"/>
  <c r="AX115" i="27" s="1"/>
  <c r="AY110" i="27"/>
  <c r="AY112" i="27" s="1"/>
  <c r="BE140" i="27"/>
  <c r="BE142" i="27" s="1"/>
  <c r="AW185" i="27"/>
  <c r="AV187" i="27"/>
  <c r="AU75" i="11"/>
  <c r="AN45" i="17"/>
  <c r="AN48" i="17" s="1"/>
  <c r="AN51" i="17" s="1"/>
  <c r="AN42" i="17"/>
  <c r="BA104" i="27" s="1"/>
  <c r="AM66" i="17"/>
  <c r="AM61" i="17"/>
  <c r="AM62" i="17" s="1"/>
  <c r="AM63" i="17" s="1"/>
  <c r="BB81" i="11" s="1"/>
  <c r="BB86" i="11" s="1"/>
  <c r="AM52" i="17"/>
  <c r="AW47" i="11"/>
  <c r="AW52" i="11" s="1"/>
  <c r="E28" i="10"/>
  <c r="E29" i="10"/>
  <c r="AO46" i="17"/>
  <c r="AO47" i="17"/>
  <c r="AX182" i="27"/>
  <c r="AX184" i="27" s="1"/>
  <c r="AV69" i="11" l="1"/>
  <c r="AV74" i="11" s="1"/>
  <c r="AV75" i="11" s="1"/>
  <c r="BA107" i="27"/>
  <c r="BA109" i="27" s="1"/>
  <c r="AN53" i="17"/>
  <c r="AN60" i="17" s="1"/>
  <c r="AL67" i="17"/>
  <c r="AW58" i="11" s="1"/>
  <c r="AW63" i="11" s="1"/>
  <c r="AG62" i="18"/>
  <c r="BH82" i="11" s="1"/>
  <c r="AG66" i="18"/>
  <c r="AZ59" i="11" s="1"/>
  <c r="AZ70" i="11" s="1"/>
  <c r="AH42" i="18"/>
  <c r="AH47" i="18"/>
  <c r="AS75" i="17"/>
  <c r="AT74" i="17"/>
  <c r="AU72" i="17"/>
  <c r="AX185" i="27"/>
  <c r="AW187" i="27"/>
  <c r="BE143" i="27"/>
  <c r="BE145" i="27" s="1"/>
  <c r="AM67" i="17"/>
  <c r="AX58" i="11" s="1"/>
  <c r="AX63" i="11" s="1"/>
  <c r="AZ110" i="27"/>
  <c r="AZ112" i="27" s="1"/>
  <c r="BC48" i="11"/>
  <c r="AP46" i="17"/>
  <c r="AP47" i="17"/>
  <c r="AX47" i="11"/>
  <c r="AX52" i="11" s="1"/>
  <c r="AY182" i="27"/>
  <c r="AY184" i="27" s="1"/>
  <c r="AO45" i="17"/>
  <c r="AO48" i="17" s="1"/>
  <c r="AO51" i="17" s="1"/>
  <c r="AO42" i="17"/>
  <c r="BB104" i="27" s="1"/>
  <c r="E36" i="10"/>
  <c r="E10" i="10"/>
  <c r="E11" i="10"/>
  <c r="E34" i="10"/>
  <c r="AN66" i="17"/>
  <c r="AN61" i="17"/>
  <c r="AN52" i="17"/>
  <c r="AL68" i="17" l="1"/>
  <c r="AY113" i="27" s="1"/>
  <c r="AY115" i="27" s="1"/>
  <c r="AN62" i="17"/>
  <c r="AN63" i="17" s="1"/>
  <c r="BC81" i="11" s="1"/>
  <c r="BC86" i="11" s="1"/>
  <c r="BB107" i="27"/>
  <c r="BB109" i="27" s="1"/>
  <c r="AO53" i="17"/>
  <c r="AO60" i="17" s="1"/>
  <c r="AW69" i="11"/>
  <c r="AW74" i="11" s="1"/>
  <c r="AW75" i="11" s="1"/>
  <c r="AG67" i="18"/>
  <c r="AG68" i="18" s="1"/>
  <c r="AI40" i="18"/>
  <c r="AH48" i="18"/>
  <c r="AH49" i="18" s="1"/>
  <c r="AH52" i="18" s="1"/>
  <c r="AH43" i="18"/>
  <c r="BC137" i="27" s="1"/>
  <c r="AT75" i="17"/>
  <c r="AV72" i="17"/>
  <c r="AU74" i="17"/>
  <c r="L19" i="11"/>
  <c r="E7" i="11" s="1"/>
  <c r="E12" i="11" s="1"/>
  <c r="AZ182" i="27"/>
  <c r="AZ184" i="27" s="1"/>
  <c r="L20" i="11"/>
  <c r="E18" i="11" s="1"/>
  <c r="E23" i="11" s="1"/>
  <c r="AM68" i="17"/>
  <c r="AM69" i="17" s="1"/>
  <c r="AY185" i="27"/>
  <c r="AX187" i="27"/>
  <c r="BA110" i="27"/>
  <c r="BA112" i="27" s="1"/>
  <c r="AO66" i="17"/>
  <c r="AO52" i="17"/>
  <c r="AO61" i="17"/>
  <c r="AP45" i="17"/>
  <c r="AP48" i="17" s="1"/>
  <c r="AP51" i="17" s="1"/>
  <c r="AP42" i="17"/>
  <c r="BC104" i="27" s="1"/>
  <c r="AY47" i="11"/>
  <c r="AY52" i="11" s="1"/>
  <c r="AX69" i="11"/>
  <c r="AX74" i="11" s="1"/>
  <c r="AQ46" i="17"/>
  <c r="AQ47" i="17"/>
  <c r="AL69" i="17" l="1"/>
  <c r="AO62" i="17"/>
  <c r="AO63" i="17" s="1"/>
  <c r="BD81" i="11" s="1"/>
  <c r="BD86" i="11" s="1"/>
  <c r="AN67" i="17"/>
  <c r="AY58" i="11" s="1"/>
  <c r="AY63" i="11" s="1"/>
  <c r="BC107" i="27"/>
  <c r="BC109" i="27" s="1"/>
  <c r="AP53" i="17"/>
  <c r="AP60" i="17" s="1"/>
  <c r="AH65" i="18"/>
  <c r="AH53" i="18"/>
  <c r="AH60" i="18"/>
  <c r="AH61" i="18" s="1"/>
  <c r="AI46" i="18"/>
  <c r="AI41" i="18"/>
  <c r="AU75" i="17"/>
  <c r="AW72" i="17"/>
  <c r="AV74" i="17"/>
  <c r="L21" i="11"/>
  <c r="E29" i="11" s="1"/>
  <c r="E34" i="11" s="1"/>
  <c r="AZ113" i="27"/>
  <c r="AZ115" i="27" s="1"/>
  <c r="BB110" i="27"/>
  <c r="BB112" i="27" s="1"/>
  <c r="BF140" i="27"/>
  <c r="BF142" i="27" s="1"/>
  <c r="AZ185" i="27"/>
  <c r="AY187" i="27"/>
  <c r="F4" i="4"/>
  <c r="L20" i="2"/>
  <c r="L22" i="2"/>
  <c r="L18" i="2"/>
  <c r="L19" i="2"/>
  <c r="L21" i="2"/>
  <c r="L15" i="2"/>
  <c r="H65" i="25" s="1"/>
  <c r="H67" i="25" s="1"/>
  <c r="AX75" i="11"/>
  <c r="AQ45" i="17"/>
  <c r="AQ48" i="17" s="1"/>
  <c r="AQ51" i="17" s="1"/>
  <c r="AQ42" i="17"/>
  <c r="BD104" i="27" s="1"/>
  <c r="AP66" i="17"/>
  <c r="AP52" i="17"/>
  <c r="AP61" i="17"/>
  <c r="AZ47" i="11"/>
  <c r="AZ52" i="11" s="1"/>
  <c r="AR46" i="17"/>
  <c r="AR47" i="17"/>
  <c r="BA182" i="27"/>
  <c r="BA184" i="27" s="1"/>
  <c r="AP62" i="17" l="1"/>
  <c r="AP63" i="17" s="1"/>
  <c r="BE81" i="11" s="1"/>
  <c r="BE86" i="11" s="1"/>
  <c r="AO67" i="17"/>
  <c r="AZ58" i="11" s="1"/>
  <c r="AZ63" i="11" s="1"/>
  <c r="AY69" i="11"/>
  <c r="AY74" i="11" s="1"/>
  <c r="AY75" i="11" s="1"/>
  <c r="AN68" i="17"/>
  <c r="AN69" i="17" s="1"/>
  <c r="BD107" i="27"/>
  <c r="BD109" i="27" s="1"/>
  <c r="AQ53" i="17"/>
  <c r="AQ60" i="17" s="1"/>
  <c r="AH62" i="18"/>
  <c r="BI82" i="11" s="1"/>
  <c r="AH66" i="18"/>
  <c r="BA59" i="11" s="1"/>
  <c r="BA70" i="11" s="1"/>
  <c r="AI47" i="18"/>
  <c r="AI42" i="18"/>
  <c r="AV75" i="17"/>
  <c r="AW74" i="17"/>
  <c r="AX72" i="17"/>
  <c r="F29" i="7"/>
  <c r="F16" i="10" s="1"/>
  <c r="F20" i="7"/>
  <c r="F48" i="7" s="1"/>
  <c r="F6" i="4"/>
  <c r="F4" i="10" s="1"/>
  <c r="F18" i="7"/>
  <c r="F14" i="10" s="1"/>
  <c r="BC110" i="27"/>
  <c r="BC112" i="27" s="1"/>
  <c r="BF143" i="27"/>
  <c r="BF145" i="27" s="1"/>
  <c r="BA113" i="27"/>
  <c r="BA115" i="27" s="1"/>
  <c r="BB113" i="27"/>
  <c r="BB115" i="27" s="1"/>
  <c r="F20" i="10"/>
  <c r="BA185" i="27"/>
  <c r="AZ187" i="27"/>
  <c r="BD48" i="11"/>
  <c r="F21" i="10"/>
  <c r="AS47" i="17"/>
  <c r="AS46" i="17"/>
  <c r="BA47" i="11"/>
  <c r="BA52" i="11" s="1"/>
  <c r="BB182" i="27"/>
  <c r="BB184" i="27" s="1"/>
  <c r="AR42" i="17"/>
  <c r="BE104" i="27" s="1"/>
  <c r="AR45" i="17"/>
  <c r="AR48" i="17" s="1"/>
  <c r="AR51" i="17" s="1"/>
  <c r="AQ52" i="17"/>
  <c r="AQ66" i="17"/>
  <c r="AQ61" i="17"/>
  <c r="AQ62" i="17" l="1"/>
  <c r="AQ63" i="17" s="1"/>
  <c r="BF81" i="11" s="1"/>
  <c r="BF86" i="11" s="1"/>
  <c r="AZ69" i="11"/>
  <c r="AZ74" i="11" s="1"/>
  <c r="AZ75" i="11" s="1"/>
  <c r="AO68" i="17"/>
  <c r="AO69" i="17" s="1"/>
  <c r="AP67" i="17"/>
  <c r="BA58" i="11" s="1"/>
  <c r="BA63" i="11" s="1"/>
  <c r="BE107" i="27"/>
  <c r="BE109" i="27" s="1"/>
  <c r="AR53" i="17"/>
  <c r="AR60" i="17" s="1"/>
  <c r="AH67" i="18"/>
  <c r="AH68" i="18" s="1"/>
  <c r="AI43" i="18"/>
  <c r="BD137" i="27" s="1"/>
  <c r="AJ40" i="18"/>
  <c r="AI48" i="18"/>
  <c r="AI49" i="18" s="1"/>
  <c r="AI52" i="18" s="1"/>
  <c r="AW75" i="17"/>
  <c r="F12" i="10"/>
  <c r="AY72" i="17"/>
  <c r="AX74" i="17"/>
  <c r="F13" i="10"/>
  <c r="F23" i="4"/>
  <c r="F49" i="7"/>
  <c r="F31" i="7"/>
  <c r="F34" i="7" s="1"/>
  <c r="F17" i="10"/>
  <c r="F15" i="10"/>
  <c r="F47" i="7"/>
  <c r="BB185" i="27"/>
  <c r="BA187" i="27"/>
  <c r="BF146" i="27"/>
  <c r="BF148" i="27" s="1"/>
  <c r="AQ67" i="17"/>
  <c r="BB58" i="11" s="1"/>
  <c r="BD110" i="27"/>
  <c r="BD112" i="27" s="1"/>
  <c r="BC113" i="27"/>
  <c r="BC115" i="27" s="1"/>
  <c r="AT46" i="17"/>
  <c r="AT47" i="17"/>
  <c r="BC182" i="27"/>
  <c r="BC184" i="27" s="1"/>
  <c r="AS45" i="17"/>
  <c r="AS48" i="17" s="1"/>
  <c r="AS51" i="17" s="1"/>
  <c r="AS42" i="17"/>
  <c r="BF104" i="27" s="1"/>
  <c r="BB47" i="11"/>
  <c r="BB52" i="11" s="1"/>
  <c r="AR66" i="17"/>
  <c r="AR61" i="17"/>
  <c r="AR62" i="17" s="1"/>
  <c r="AR63" i="17" s="1"/>
  <c r="BG81" i="11" s="1"/>
  <c r="BG86" i="11" s="1"/>
  <c r="AR52" i="17"/>
  <c r="BA69" i="11" l="1"/>
  <c r="BA74" i="11" s="1"/>
  <c r="BA75" i="11" s="1"/>
  <c r="AP68" i="17"/>
  <c r="AP69" i="17" s="1"/>
  <c r="BF107" i="27"/>
  <c r="BF109" i="27" s="1"/>
  <c r="AS53" i="17"/>
  <c r="AS60" i="17" s="1"/>
  <c r="AI60" i="18"/>
  <c r="AI61" i="18" s="1"/>
  <c r="AI53" i="18"/>
  <c r="AI65" i="18"/>
  <c r="AJ46" i="18"/>
  <c r="AJ41" i="18"/>
  <c r="AX75" i="17"/>
  <c r="F50" i="7"/>
  <c r="F51" i="7" s="1"/>
  <c r="F7" i="9" s="1"/>
  <c r="F5" i="10"/>
  <c r="E30" i="2"/>
  <c r="E31" i="2" s="1"/>
  <c r="F27" i="4"/>
  <c r="F29" i="4" s="1"/>
  <c r="F24" i="10" s="1"/>
  <c r="F40" i="10"/>
  <c r="AZ72" i="17"/>
  <c r="AY74" i="17"/>
  <c r="F18" i="10"/>
  <c r="F19" i="10" s="1"/>
  <c r="AQ68" i="17"/>
  <c r="AQ69" i="17" s="1"/>
  <c r="AR67" i="17"/>
  <c r="BC58" i="11" s="1"/>
  <c r="BE110" i="27"/>
  <c r="BE112" i="27" s="1"/>
  <c r="BG140" i="27"/>
  <c r="BG142" i="27" s="1"/>
  <c r="BC185" i="27"/>
  <c r="BB187" i="27"/>
  <c r="BC47" i="11"/>
  <c r="BC52" i="11" s="1"/>
  <c r="AS66" i="17"/>
  <c r="AS52" i="17"/>
  <c r="AS61" i="17"/>
  <c r="BD182" i="27"/>
  <c r="BD184" i="27" s="1"/>
  <c r="BB69" i="11"/>
  <c r="AT42" i="17"/>
  <c r="BG104" i="27" s="1"/>
  <c r="AT45" i="17"/>
  <c r="AT48" i="17" s="1"/>
  <c r="AT51" i="17" s="1"/>
  <c r="AU46" i="17"/>
  <c r="AU47" i="17"/>
  <c r="AS62" i="17" l="1"/>
  <c r="AS63" i="17" s="1"/>
  <c r="BG107" i="27"/>
  <c r="BG109" i="27" s="1"/>
  <c r="AT53" i="17"/>
  <c r="AT60" i="17" s="1"/>
  <c r="AJ42" i="18"/>
  <c r="AJ47" i="18"/>
  <c r="AI62" i="18"/>
  <c r="BJ82" i="11" s="1"/>
  <c r="F94" i="11" s="1"/>
  <c r="AI66" i="18"/>
  <c r="BB59" i="11" s="1"/>
  <c r="AY75" i="17"/>
  <c r="F25" i="4"/>
  <c r="AZ74" i="17"/>
  <c r="BA72" i="17"/>
  <c r="AR68" i="17"/>
  <c r="AR69" i="17" s="1"/>
  <c r="BD113" i="27"/>
  <c r="BD115" i="27" s="1"/>
  <c r="BE48" i="11"/>
  <c r="BE113" i="27"/>
  <c r="BE115" i="27" s="1"/>
  <c r="BD185" i="27"/>
  <c r="BC187" i="27"/>
  <c r="BF110" i="27"/>
  <c r="BF112" i="27" s="1"/>
  <c r="BG143" i="27"/>
  <c r="BG145" i="27" s="1"/>
  <c r="AU42" i="17"/>
  <c r="BH104" i="27" s="1"/>
  <c r="AU45" i="17"/>
  <c r="AU48" i="17" s="1"/>
  <c r="AU51" i="17" s="1"/>
  <c r="AT66" i="17"/>
  <c r="AT61" i="17"/>
  <c r="AT52" i="17"/>
  <c r="F30" i="4"/>
  <c r="BD47" i="11"/>
  <c r="BD52" i="11" s="1"/>
  <c r="AV46" i="17"/>
  <c r="AV47" i="17"/>
  <c r="BE182" i="27"/>
  <c r="BE184" i="27" s="1"/>
  <c r="BC69" i="11"/>
  <c r="BH81" i="11" l="1"/>
  <c r="BH86" i="11" s="1"/>
  <c r="AS67" i="17"/>
  <c r="BD58" i="11" s="1"/>
  <c r="BD69" i="11" s="1"/>
  <c r="BH107" i="27"/>
  <c r="BH109" i="27" s="1"/>
  <c r="AU53" i="17"/>
  <c r="AU60" i="17" s="1"/>
  <c r="AT62" i="17"/>
  <c r="AT63" i="17" s="1"/>
  <c r="BI81" i="11" s="1"/>
  <c r="BI86" i="11" s="1"/>
  <c r="AJ43" i="18"/>
  <c r="BE137" i="27" s="1"/>
  <c r="AK40" i="18"/>
  <c r="AJ48" i="18"/>
  <c r="AJ49" i="18" s="1"/>
  <c r="AJ52" i="18" s="1"/>
  <c r="BB70" i="11"/>
  <c r="BB74" i="11" s="1"/>
  <c r="BB75" i="11" s="1"/>
  <c r="BB63" i="11"/>
  <c r="AI67" i="18"/>
  <c r="AI68" i="18" s="1"/>
  <c r="AZ75" i="17"/>
  <c r="BB72" i="17"/>
  <c r="BA74" i="17"/>
  <c r="BG110" i="27"/>
  <c r="BG112" i="27" s="1"/>
  <c r="BE185" i="27"/>
  <c r="BD187" i="27"/>
  <c r="BF182" i="27"/>
  <c r="BF184" i="27" s="1"/>
  <c r="BE47" i="11"/>
  <c r="BE52" i="11" s="1"/>
  <c r="AV45" i="17"/>
  <c r="AV48" i="17" s="1"/>
  <c r="AV51" i="17" s="1"/>
  <c r="AV42" i="17"/>
  <c r="BI104" i="27" s="1"/>
  <c r="F6" i="10"/>
  <c r="F22" i="10"/>
  <c r="F38" i="7"/>
  <c r="F5" i="9"/>
  <c r="F8" i="9" s="1"/>
  <c r="AU52" i="17"/>
  <c r="AU61" i="17"/>
  <c r="AU66" i="17"/>
  <c r="AW46" i="17"/>
  <c r="AW47" i="17"/>
  <c r="AU62" i="17" l="1"/>
  <c r="AU63" i="17" s="1"/>
  <c r="BJ81" i="11" s="1"/>
  <c r="BJ86" i="11" s="1"/>
  <c r="F98" i="11" s="1"/>
  <c r="G5" i="4" s="1"/>
  <c r="AS68" i="17"/>
  <c r="AS69" i="17" s="1"/>
  <c r="AT67" i="17"/>
  <c r="BE58" i="11" s="1"/>
  <c r="BE69" i="11" s="1"/>
  <c r="BI107" i="27"/>
  <c r="BI109" i="27" s="1"/>
  <c r="AV53" i="17"/>
  <c r="AV60" i="17" s="1"/>
  <c r="AJ65" i="18"/>
  <c r="AJ60" i="18"/>
  <c r="AJ61" i="18" s="1"/>
  <c r="AJ53" i="18"/>
  <c r="AK46" i="18"/>
  <c r="AK41" i="18"/>
  <c r="BA75" i="17"/>
  <c r="BB74" i="17"/>
  <c r="BC72" i="17"/>
  <c r="BF113" i="27"/>
  <c r="BF115" i="27" s="1"/>
  <c r="BG113" i="27"/>
  <c r="BG115" i="27" s="1"/>
  <c r="BG146" i="27"/>
  <c r="BG148" i="27" s="1"/>
  <c r="BH140" i="27"/>
  <c r="BH142" i="27" s="1"/>
  <c r="BH110" i="27"/>
  <c r="BH112" i="27" s="1"/>
  <c r="BF185" i="27"/>
  <c r="BE187" i="27"/>
  <c r="AW42" i="17"/>
  <c r="BJ104" i="27" s="1"/>
  <c r="AW45" i="17"/>
  <c r="AW48" i="17" s="1"/>
  <c r="AW51" i="17" s="1"/>
  <c r="BG182" i="27"/>
  <c r="BG184" i="27" s="1"/>
  <c r="AX47" i="17"/>
  <c r="AX46" i="17"/>
  <c r="BF47" i="11"/>
  <c r="F16" i="9"/>
  <c r="F37" i="7"/>
  <c r="F39" i="7" s="1"/>
  <c r="AV61" i="17"/>
  <c r="AV66" i="17"/>
  <c r="AV52" i="17"/>
  <c r="F93" i="11" l="1"/>
  <c r="AU67" i="17"/>
  <c r="BF58" i="11" s="1"/>
  <c r="AV62" i="17"/>
  <c r="AV63" i="17" s="1"/>
  <c r="BJ107" i="27"/>
  <c r="BJ109" i="27" s="1"/>
  <c r="AW53" i="17"/>
  <c r="AW60" i="17" s="1"/>
  <c r="AT68" i="17"/>
  <c r="AT69" i="17" s="1"/>
  <c r="AJ62" i="18"/>
  <c r="AJ66" i="18"/>
  <c r="BC59" i="11" s="1"/>
  <c r="AK42" i="18"/>
  <c r="AK47" i="18"/>
  <c r="BB75" i="17"/>
  <c r="BC74" i="17"/>
  <c r="BD72" i="17"/>
  <c r="BD74" i="17" s="1"/>
  <c r="AU68" i="17"/>
  <c r="AU69" i="17" s="1"/>
  <c r="BH143" i="27"/>
  <c r="BH145" i="27" s="1"/>
  <c r="BF48" i="11"/>
  <c r="BF52" i="11" s="1"/>
  <c r="BI110" i="27"/>
  <c r="BI112" i="27" s="1"/>
  <c r="BH113" i="27"/>
  <c r="BH115" i="27" s="1"/>
  <c r="BG185" i="27"/>
  <c r="BF187" i="27"/>
  <c r="F33" i="10"/>
  <c r="F40" i="7"/>
  <c r="F35" i="10"/>
  <c r="F17" i="9"/>
  <c r="F19" i="9" s="1"/>
  <c r="F21" i="9" s="1"/>
  <c r="F23" i="10"/>
  <c r="AX42" i="17"/>
  <c r="BK104" i="27" s="1"/>
  <c r="AX45" i="17"/>
  <c r="AX48" i="17" s="1"/>
  <c r="AX51" i="17" s="1"/>
  <c r="BG47" i="11"/>
  <c r="AW66" i="17"/>
  <c r="AW52" i="17"/>
  <c r="AW61" i="17"/>
  <c r="AY47" i="17"/>
  <c r="AY46" i="17"/>
  <c r="BF69" i="11"/>
  <c r="AV67" i="17" l="1"/>
  <c r="BG58" i="11" s="1"/>
  <c r="BG69" i="11" s="1"/>
  <c r="AW62" i="17"/>
  <c r="AW63" i="17" s="1"/>
  <c r="BK107" i="27"/>
  <c r="BK109" i="27" s="1"/>
  <c r="AX53" i="17"/>
  <c r="AX60" i="17" s="1"/>
  <c r="AJ67" i="18"/>
  <c r="BC70" i="11"/>
  <c r="BC74" i="11" s="1"/>
  <c r="BC75" i="11" s="1"/>
  <c r="BC63" i="11"/>
  <c r="BE146" i="27"/>
  <c r="BE148" i="27" s="1"/>
  <c r="AJ68" i="18"/>
  <c r="AK43" i="18"/>
  <c r="BF137" i="27" s="1"/>
  <c r="AL40" i="18"/>
  <c r="AK48" i="18"/>
  <c r="AK49" i="18" s="1"/>
  <c r="AK52" i="18" s="1"/>
  <c r="BC75" i="17"/>
  <c r="BD75" i="17" s="1"/>
  <c r="BH182" i="27"/>
  <c r="BH184" i="27" s="1"/>
  <c r="BJ110" i="27"/>
  <c r="BJ112" i="27" s="1"/>
  <c r="BG187" i="27"/>
  <c r="F23" i="9"/>
  <c r="G20" i="9"/>
  <c r="F17" i="7"/>
  <c r="F21" i="7" s="1"/>
  <c r="F25" i="7" s="1"/>
  <c r="F42" i="7" s="1"/>
  <c r="AY42" i="17"/>
  <c r="BL104" i="27" s="1"/>
  <c r="AY45" i="17"/>
  <c r="AY48" i="17" s="1"/>
  <c r="AY51" i="17" s="1"/>
  <c r="AX66" i="17"/>
  <c r="AX61" i="17"/>
  <c r="AX52" i="17"/>
  <c r="BH47" i="11"/>
  <c r="AZ46" i="17"/>
  <c r="AZ47" i="17"/>
  <c r="AW67" i="17" l="1"/>
  <c r="BH58" i="11" s="1"/>
  <c r="BH69" i="11" s="1"/>
  <c r="AV68" i="17"/>
  <c r="AV69" i="17" s="1"/>
  <c r="AX62" i="17"/>
  <c r="AX63" i="17" s="1"/>
  <c r="BL107" i="27"/>
  <c r="BL109" i="27" s="1"/>
  <c r="AY53" i="17"/>
  <c r="AY60" i="17" s="1"/>
  <c r="AK53" i="18"/>
  <c r="AK65" i="18"/>
  <c r="AK60" i="18"/>
  <c r="AK61" i="18" s="1"/>
  <c r="AL46" i="18"/>
  <c r="AL41" i="18"/>
  <c r="BH185" i="27"/>
  <c r="BH187" i="27" s="1"/>
  <c r="BI113" i="27"/>
  <c r="BI115" i="27" s="1"/>
  <c r="BH146" i="27"/>
  <c r="BH148" i="27" s="1"/>
  <c r="BK110" i="27"/>
  <c r="BK112" i="27" s="1"/>
  <c r="BI140" i="27"/>
  <c r="BI142" i="27" s="1"/>
  <c r="AZ45" i="17"/>
  <c r="AZ48" i="17" s="1"/>
  <c r="AZ51" i="17" s="1"/>
  <c r="AZ53" i="17" s="1"/>
  <c r="AZ60" i="17" s="1"/>
  <c r="AZ42" i="17"/>
  <c r="AY66" i="17"/>
  <c r="AY61" i="17"/>
  <c r="AY52" i="17"/>
  <c r="BA46" i="17"/>
  <c r="BA47" i="17"/>
  <c r="BI47" i="11"/>
  <c r="F28" i="10"/>
  <c r="F29" i="10"/>
  <c r="AW68" i="17" l="1"/>
  <c r="AX67" i="17"/>
  <c r="BI58" i="11" s="1"/>
  <c r="BI69" i="11" s="1"/>
  <c r="AY62" i="17"/>
  <c r="AY63" i="17" s="1"/>
  <c r="AL42" i="18"/>
  <c r="AL47" i="18"/>
  <c r="AK62" i="18"/>
  <c r="AK66" i="18"/>
  <c r="BD59" i="11" s="1"/>
  <c r="BK113" i="27"/>
  <c r="BK115" i="27" s="1"/>
  <c r="BG48" i="11"/>
  <c r="BG52" i="11" s="1"/>
  <c r="BL110" i="27"/>
  <c r="BL112" i="27" s="1"/>
  <c r="BI143" i="27"/>
  <c r="BI145" i="27" s="1"/>
  <c r="AW69" i="17"/>
  <c r="BJ113" i="27"/>
  <c r="BJ115" i="27" s="1"/>
  <c r="BA42" i="17"/>
  <c r="BA45" i="17"/>
  <c r="BA48" i="17" s="1"/>
  <c r="BA51" i="17" s="1"/>
  <c r="BA53" i="17" s="1"/>
  <c r="BA60" i="17" s="1"/>
  <c r="BB47" i="17"/>
  <c r="BB46" i="17"/>
  <c r="F34" i="10"/>
  <c r="F36" i="10"/>
  <c r="F10" i="10"/>
  <c r="F11" i="10"/>
  <c r="BJ47" i="11"/>
  <c r="AZ66" i="17"/>
  <c r="AZ52" i="17"/>
  <c r="AZ61" i="17"/>
  <c r="AZ62" i="17" s="1"/>
  <c r="AY67" i="17" l="1"/>
  <c r="BJ58" i="11" s="1"/>
  <c r="M20" i="11" s="1"/>
  <c r="F18" i="11" s="1"/>
  <c r="AX68" i="17"/>
  <c r="AX69" i="17" s="1"/>
  <c r="BD70" i="11"/>
  <c r="BD74" i="11" s="1"/>
  <c r="BD75" i="11" s="1"/>
  <c r="BD63" i="11"/>
  <c r="AK67" i="18"/>
  <c r="AK68" i="18" s="1"/>
  <c r="AL48" i="18"/>
  <c r="AL49" i="18" s="1"/>
  <c r="AL52" i="18" s="1"/>
  <c r="AL43" i="18"/>
  <c r="BG137" i="27" s="1"/>
  <c r="AM40" i="18"/>
  <c r="AZ67" i="17"/>
  <c r="AZ68" i="17" s="1"/>
  <c r="AZ69" i="17" s="1"/>
  <c r="AZ63" i="17"/>
  <c r="BI182" i="27"/>
  <c r="BA66" i="17"/>
  <c r="BA61" i="17"/>
  <c r="BA62" i="17" s="1"/>
  <c r="BA52" i="17"/>
  <c r="BC47" i="17"/>
  <c r="BC46" i="17"/>
  <c r="M19" i="11"/>
  <c r="BB42" i="17"/>
  <c r="BB45" i="17"/>
  <c r="BB48" i="17" s="1"/>
  <c r="BB51" i="17" s="1"/>
  <c r="BB53" i="17" s="1"/>
  <c r="BB60" i="17" s="1"/>
  <c r="AY68" i="17" l="1"/>
  <c r="AY69" i="17" s="1"/>
  <c r="BJ69" i="11"/>
  <c r="AL65" i="18"/>
  <c r="AL60" i="18"/>
  <c r="AL61" i="18" s="1"/>
  <c r="AL53" i="18"/>
  <c r="AM46" i="18"/>
  <c r="AM41" i="18"/>
  <c r="BA67" i="17"/>
  <c r="BA68" i="17" s="1"/>
  <c r="BA69" i="17" s="1"/>
  <c r="BA63" i="17"/>
  <c r="BL113" i="27"/>
  <c r="BL115" i="27" s="1"/>
  <c r="BI146" i="27"/>
  <c r="BI148" i="27" s="1"/>
  <c r="BJ140" i="27"/>
  <c r="BJ142" i="27" s="1"/>
  <c r="BI184" i="27"/>
  <c r="BI185" i="27"/>
  <c r="BB61" i="17"/>
  <c r="BB62" i="17" s="1"/>
  <c r="BB66" i="17"/>
  <c r="BB52" i="17"/>
  <c r="BD46" i="17"/>
  <c r="BD47" i="17"/>
  <c r="M21" i="11"/>
  <c r="F29" i="11" s="1"/>
  <c r="F7" i="11"/>
  <c r="BC45" i="17"/>
  <c r="BC48" i="17" s="1"/>
  <c r="BC51" i="17" s="1"/>
  <c r="BC53" i="17" s="1"/>
  <c r="BC60" i="17" s="1"/>
  <c r="BC42" i="17"/>
  <c r="AL62" i="18" l="1"/>
  <c r="AL66" i="18"/>
  <c r="BE59" i="11" s="1"/>
  <c r="AM42" i="18"/>
  <c r="AM47" i="18"/>
  <c r="BB67" i="17"/>
  <c r="BB68" i="17" s="1"/>
  <c r="BB69" i="17" s="1"/>
  <c r="BB63" i="17"/>
  <c r="BI187" i="27"/>
  <c r="BH48" i="11"/>
  <c r="BH52" i="11" s="1"/>
  <c r="BJ143" i="27"/>
  <c r="BJ145" i="27" s="1"/>
  <c r="BC52" i="17"/>
  <c r="BC61" i="17"/>
  <c r="BC62" i="17" s="1"/>
  <c r="BC66" i="17"/>
  <c r="BD45" i="17"/>
  <c r="BD48" i="17" s="1"/>
  <c r="BD51" i="17" s="1"/>
  <c r="BD53" i="17" s="1"/>
  <c r="BD60" i="17" s="1"/>
  <c r="BD42" i="17"/>
  <c r="AM48" i="18" l="1"/>
  <c r="AM49" i="18" s="1"/>
  <c r="AM52" i="18" s="1"/>
  <c r="AM43" i="18"/>
  <c r="BH137" i="27" s="1"/>
  <c r="AN40" i="18"/>
  <c r="BE70" i="11"/>
  <c r="BE74" i="11" s="1"/>
  <c r="BE75" i="11" s="1"/>
  <c r="BE63" i="11"/>
  <c r="AL67" i="18"/>
  <c r="AL68" i="18" s="1"/>
  <c r="BC67" i="17"/>
  <c r="BC68" i="17" s="1"/>
  <c r="BC69" i="17" s="1"/>
  <c r="BC63" i="17"/>
  <c r="BJ182" i="27"/>
  <c r="BD66" i="17"/>
  <c r="BD61" i="17"/>
  <c r="BD62" i="17" s="1"/>
  <c r="BD52" i="17"/>
  <c r="AN41" i="18" l="1"/>
  <c r="AN46" i="18"/>
  <c r="AM53" i="18"/>
  <c r="AM65" i="18"/>
  <c r="AM60" i="18"/>
  <c r="AM61" i="18" s="1"/>
  <c r="BD67" i="17"/>
  <c r="BD68" i="17" s="1"/>
  <c r="BD69" i="17" s="1"/>
  <c r="BD63" i="17"/>
  <c r="BJ146" i="27"/>
  <c r="BJ148" i="27" s="1"/>
  <c r="BK140" i="27"/>
  <c r="BK142" i="27" s="1"/>
  <c r="BJ184" i="27"/>
  <c r="BJ185" i="27"/>
  <c r="AM62" i="18" l="1"/>
  <c r="AM66" i="18"/>
  <c r="BF59" i="11" s="1"/>
  <c r="AN42" i="18"/>
  <c r="AN47" i="18"/>
  <c r="BI48" i="11"/>
  <c r="BI52" i="11" s="1"/>
  <c r="BJ187" i="27"/>
  <c r="BK143" i="27"/>
  <c r="BK145" i="27" s="1"/>
  <c r="AN43" i="18" l="1"/>
  <c r="BI137" i="27" s="1"/>
  <c r="AO40" i="18"/>
  <c r="AN48" i="18"/>
  <c r="AN49" i="18" s="1"/>
  <c r="AN52" i="18" s="1"/>
  <c r="BF63" i="11"/>
  <c r="BF70" i="11"/>
  <c r="BF74" i="11" s="1"/>
  <c r="BF75" i="11" s="1"/>
  <c r="AM67" i="18"/>
  <c r="AM68" i="18" s="1"/>
  <c r="BK182" i="27"/>
  <c r="AO46" i="18" l="1"/>
  <c r="AO41" i="18"/>
  <c r="AN65" i="18"/>
  <c r="AN53" i="18"/>
  <c r="AN60" i="18"/>
  <c r="AN61" i="18" s="1"/>
  <c r="BK146" i="27"/>
  <c r="BK148" i="27" s="1"/>
  <c r="BK184" i="27"/>
  <c r="BK185" i="27"/>
  <c r="BL140" i="27"/>
  <c r="BL142" i="27" s="1"/>
  <c r="AO42" i="18" l="1"/>
  <c r="AO47" i="18"/>
  <c r="AN62" i="18"/>
  <c r="AN66" i="18"/>
  <c r="BG59" i="11" s="1"/>
  <c r="BJ48" i="11"/>
  <c r="BJ52" i="11" s="1"/>
  <c r="BL143" i="27"/>
  <c r="BL145" i="27" s="1"/>
  <c r="BK187" i="27"/>
  <c r="AP40" i="18" l="1"/>
  <c r="AO43" i="18"/>
  <c r="BJ137" i="27" s="1"/>
  <c r="AO48" i="18"/>
  <c r="AO49" i="18" s="1"/>
  <c r="AO52" i="18" s="1"/>
  <c r="BG63" i="11"/>
  <c r="BG70" i="11"/>
  <c r="BG74" i="11" s="1"/>
  <c r="BG75" i="11" s="1"/>
  <c r="AN67" i="18"/>
  <c r="AN68" i="18" s="1"/>
  <c r="BL146" i="27"/>
  <c r="BL148" i="27" s="1"/>
  <c r="M24" i="11"/>
  <c r="BL182" i="27"/>
  <c r="AO65" i="18" l="1"/>
  <c r="AO60" i="18"/>
  <c r="AO61" i="18" s="1"/>
  <c r="AO53" i="18"/>
  <c r="AP41" i="18"/>
  <c r="AP46" i="18"/>
  <c r="F8" i="11"/>
  <c r="F12" i="11" s="1"/>
  <c r="BL184" i="27"/>
  <c r="BL185" i="27"/>
  <c r="BL187" i="27" s="1"/>
  <c r="AP47" i="18" l="1"/>
  <c r="AP42" i="18"/>
  <c r="AO62" i="18"/>
  <c r="AO66" i="18"/>
  <c r="BH59" i="11" s="1"/>
  <c r="G20" i="7"/>
  <c r="G12" i="10" s="1"/>
  <c r="G29" i="7"/>
  <c r="G16" i="10" s="1"/>
  <c r="M20" i="2"/>
  <c r="M15" i="2"/>
  <c r="I65" i="25" s="1"/>
  <c r="I67" i="25" s="1"/>
  <c r="M19" i="2"/>
  <c r="M21" i="2"/>
  <c r="G4" i="4"/>
  <c r="M18" i="2"/>
  <c r="M22" i="2"/>
  <c r="AO67" i="18" l="1"/>
  <c r="AO68" i="18" s="1"/>
  <c r="BH63" i="11"/>
  <c r="BH70" i="11"/>
  <c r="BH74" i="11" s="1"/>
  <c r="BH75" i="11" s="1"/>
  <c r="AQ40" i="18"/>
  <c r="AP48" i="18"/>
  <c r="AP49" i="18" s="1"/>
  <c r="AP52" i="18" s="1"/>
  <c r="AP43" i="18"/>
  <c r="BK137" i="27" s="1"/>
  <c r="G48" i="7"/>
  <c r="G49" i="7"/>
  <c r="G13" i="10"/>
  <c r="G17" i="10"/>
  <c r="G31" i="7"/>
  <c r="G34" i="7" s="1"/>
  <c r="G6" i="4"/>
  <c r="G20" i="10"/>
  <c r="G21" i="10"/>
  <c r="G18" i="7"/>
  <c r="AQ41" i="18" l="1"/>
  <c r="AQ46" i="18"/>
  <c r="AP53" i="18"/>
  <c r="AP65" i="18"/>
  <c r="AP60" i="18"/>
  <c r="AP61" i="18" s="1"/>
  <c r="G4" i="10"/>
  <c r="G23" i="4"/>
  <c r="F30" i="2" s="1"/>
  <c r="F31" i="2" s="1"/>
  <c r="G14" i="10"/>
  <c r="G47" i="7"/>
  <c r="G50" i="7" s="1"/>
  <c r="G51" i="7" s="1"/>
  <c r="G7" i="9" s="1"/>
  <c r="G15" i="10"/>
  <c r="G18" i="10" s="1"/>
  <c r="G19" i="10" s="1"/>
  <c r="AP62" i="18" l="1"/>
  <c r="AP66" i="18"/>
  <c r="BI59" i="11" s="1"/>
  <c r="AQ42" i="18"/>
  <c r="AQ47" i="18"/>
  <c r="G40" i="10"/>
  <c r="G5" i="10"/>
  <c r="G27" i="4"/>
  <c r="AP67" i="18" l="1"/>
  <c r="AP68" i="18" s="1"/>
  <c r="BI63" i="11"/>
  <c r="BI70" i="11"/>
  <c r="BI74" i="11" s="1"/>
  <c r="BI75" i="11" s="1"/>
  <c r="AQ48" i="18"/>
  <c r="AQ49" i="18" s="1"/>
  <c r="AQ52" i="18" s="1"/>
  <c r="AQ43" i="18"/>
  <c r="BL137" i="27" s="1"/>
  <c r="AR40" i="18"/>
  <c r="G25" i="4"/>
  <c r="G29" i="4"/>
  <c r="G24" i="10" s="1"/>
  <c r="AQ65" i="18" l="1"/>
  <c r="AQ53" i="18"/>
  <c r="AQ60" i="18"/>
  <c r="AQ61" i="18" s="1"/>
  <c r="AR41" i="18"/>
  <c r="AR46" i="18"/>
  <c r="G30" i="4"/>
  <c r="G6" i="10" s="1"/>
  <c r="AR47" i="18" l="1"/>
  <c r="AR42" i="18"/>
  <c r="AQ62" i="18"/>
  <c r="AQ66" i="18"/>
  <c r="BJ59" i="11" s="1"/>
  <c r="G38" i="7"/>
  <c r="G5" i="9"/>
  <c r="G8" i="9" s="1"/>
  <c r="G22" i="10"/>
  <c r="G16" i="9"/>
  <c r="AQ67" i="18" l="1"/>
  <c r="AQ68" i="18" s="1"/>
  <c r="BJ63" i="11"/>
  <c r="BJ70" i="11"/>
  <c r="BJ74" i="11" s="1"/>
  <c r="BJ75" i="11" s="1"/>
  <c r="M25" i="11"/>
  <c r="AS40" i="18"/>
  <c r="AR43" i="18"/>
  <c r="AR48" i="18"/>
  <c r="AR49" i="18" s="1"/>
  <c r="AR52" i="18" s="1"/>
  <c r="G37" i="7"/>
  <c r="G39" i="7" s="1"/>
  <c r="G35" i="10" s="1"/>
  <c r="G17" i="9"/>
  <c r="G19" i="9" s="1"/>
  <c r="G21" i="9" s="1"/>
  <c r="G23" i="10"/>
  <c r="AR65" i="18" l="1"/>
  <c r="AR60" i="18"/>
  <c r="AR61" i="18" s="1"/>
  <c r="AR53" i="18"/>
  <c r="AS41" i="18"/>
  <c r="AS46" i="18"/>
  <c r="F19" i="11"/>
  <c r="F23" i="11" s="1"/>
  <c r="M26" i="11"/>
  <c r="F30" i="11" s="1"/>
  <c r="F34" i="11" s="1"/>
  <c r="G33" i="10"/>
  <c r="G40" i="7"/>
  <c r="G17" i="7"/>
  <c r="G21" i="7" s="1"/>
  <c r="G25" i="7" s="1"/>
  <c r="G23" i="9"/>
  <c r="G42" i="7" l="1"/>
  <c r="AS47" i="18"/>
  <c r="AS42" i="18"/>
  <c r="AR66" i="18"/>
  <c r="AR67" i="18" s="1"/>
  <c r="AR68" i="18" s="1"/>
  <c r="AR62" i="18"/>
  <c r="G28" i="10"/>
  <c r="G29" i="10"/>
  <c r="AT40" i="18" l="1"/>
  <c r="AS48" i="18"/>
  <c r="AS49" i="18" s="1"/>
  <c r="AS52" i="18" s="1"/>
  <c r="AS43" i="18"/>
  <c r="G11" i="10"/>
  <c r="G36" i="10"/>
  <c r="G34" i="10"/>
  <c r="G10" i="10"/>
  <c r="AS65" i="18" l="1"/>
  <c r="AS53" i="18"/>
  <c r="AS60" i="18"/>
  <c r="AS61" i="18" s="1"/>
  <c r="AT46" i="18"/>
  <c r="AT41" i="18"/>
  <c r="AS62" i="18" l="1"/>
  <c r="AS66" i="18"/>
  <c r="AS67" i="18" s="1"/>
  <c r="AS68" i="18" s="1"/>
  <c r="AT47" i="18"/>
  <c r="AT42" i="18"/>
  <c r="AU40" i="18" l="1"/>
  <c r="AT48" i="18"/>
  <c r="AT49" i="18" s="1"/>
  <c r="AT52" i="18" s="1"/>
  <c r="AT43" i="18"/>
  <c r="AT60" i="18" l="1"/>
  <c r="AT61" i="18" s="1"/>
  <c r="AT65" i="18"/>
  <c r="AT53" i="18"/>
  <c r="AU41" i="18"/>
  <c r="AU46" i="18"/>
  <c r="AU47" i="18" l="1"/>
  <c r="AU42" i="18"/>
  <c r="AT66" i="18"/>
  <c r="AT67" i="18" s="1"/>
  <c r="AT68" i="18" s="1"/>
  <c r="AT62" i="18"/>
  <c r="AV40" i="18" l="1"/>
  <c r="AU48" i="18"/>
  <c r="AU49" i="18" s="1"/>
  <c r="AU52" i="18" s="1"/>
  <c r="AU43" i="18"/>
  <c r="AU65" i="18" l="1"/>
  <c r="AU53" i="18"/>
  <c r="AU60" i="18"/>
  <c r="AU61" i="18" s="1"/>
  <c r="AV46" i="18"/>
  <c r="AV41" i="18"/>
  <c r="AU66" i="18" l="1"/>
  <c r="AU67" i="18" s="1"/>
  <c r="AU68" i="18" s="1"/>
  <c r="AU62" i="18"/>
  <c r="AV42" i="18"/>
  <c r="AV47" i="18"/>
  <c r="AV48" i="18" l="1"/>
  <c r="AV49" i="18" s="1"/>
  <c r="AV52" i="18" s="1"/>
  <c r="AW40" i="18"/>
  <c r="AV43" i="18"/>
  <c r="AV53" i="18" l="1"/>
  <c r="AV65" i="18"/>
  <c r="AV60" i="18"/>
  <c r="AV61" i="18" s="1"/>
  <c r="AW46" i="18"/>
  <c r="AW41" i="18"/>
  <c r="AV62" i="18" l="1"/>
  <c r="AV66" i="18"/>
  <c r="AV67" i="18" s="1"/>
  <c r="AV68" i="18" s="1"/>
  <c r="AW42" i="18"/>
  <c r="AW47" i="18"/>
  <c r="AW48" i="18" l="1"/>
  <c r="AW49" i="18" s="1"/>
  <c r="AW52" i="18" s="1"/>
  <c r="AW43" i="18"/>
  <c r="AX40" i="18"/>
  <c r="AX41" i="18" l="1"/>
  <c r="AX46" i="18"/>
  <c r="AW65" i="18"/>
  <c r="AW53" i="18"/>
  <c r="AW60" i="18"/>
  <c r="AW61" i="18" s="1"/>
  <c r="AW66" i="18" l="1"/>
  <c r="AW67" i="18" s="1"/>
  <c r="AW68" i="18" s="1"/>
  <c r="AW62" i="18"/>
  <c r="AX47" i="18"/>
  <c r="AX42" i="18"/>
  <c r="AX43" i="18" l="1"/>
  <c r="AY40" i="18"/>
  <c r="AX48" i="18"/>
  <c r="AX49" i="18" s="1"/>
  <c r="AX52" i="18" s="1"/>
  <c r="AX53" i="18" l="1"/>
  <c r="AX60" i="18"/>
  <c r="AX61" i="18" s="1"/>
  <c r="AX65" i="18"/>
  <c r="AY41" i="18"/>
  <c r="AY46" i="18"/>
  <c r="AY42" i="18" l="1"/>
  <c r="AY47" i="18"/>
  <c r="AX62" i="18"/>
  <c r="AX66" i="18"/>
  <c r="AX67" i="18" s="1"/>
  <c r="AX68" i="18" s="1"/>
  <c r="AZ40" i="18" l="1"/>
  <c r="AY48" i="18"/>
  <c r="AY49" i="18" s="1"/>
  <c r="AY52" i="18" s="1"/>
  <c r="AY43" i="18"/>
  <c r="AY65" i="18" l="1"/>
  <c r="AY53" i="18"/>
  <c r="AY60" i="18"/>
  <c r="AY61" i="18" s="1"/>
  <c r="AZ41" i="18"/>
  <c r="AZ46" i="18"/>
  <c r="AZ42" i="18" l="1"/>
  <c r="AZ47" i="18"/>
  <c r="AY62" i="18"/>
  <c r="AY66" i="18"/>
  <c r="AY67" i="18" s="1"/>
  <c r="AY68" i="18" s="1"/>
  <c r="BA40" i="18" l="1"/>
  <c r="AZ48" i="18"/>
  <c r="AZ49" i="18" s="1"/>
  <c r="AZ52" i="18" s="1"/>
  <c r="AZ43" i="18"/>
  <c r="AZ60" i="18" l="1"/>
  <c r="AZ61" i="18" s="1"/>
  <c r="AZ53" i="18"/>
  <c r="AZ65" i="18"/>
  <c r="BA41" i="18"/>
  <c r="BA46" i="18"/>
  <c r="BA47" i="18" l="1"/>
  <c r="BA42" i="18"/>
  <c r="AZ62" i="18"/>
  <c r="AZ66" i="18"/>
  <c r="AZ67" i="18" s="1"/>
  <c r="AZ68" i="18" s="1"/>
  <c r="BB40" i="18" l="1"/>
  <c r="BA43" i="18"/>
  <c r="BA48" i="18"/>
  <c r="BA49" i="18" s="1"/>
  <c r="BA52" i="18" s="1"/>
  <c r="BA65" i="18" l="1"/>
  <c r="BA53" i="18"/>
  <c r="BA60" i="18"/>
  <c r="BA61" i="18" s="1"/>
  <c r="BB41" i="18"/>
  <c r="BB46" i="18"/>
  <c r="BB47" i="18" l="1"/>
  <c r="BB42" i="18"/>
  <c r="BA66" i="18"/>
  <c r="BA67" i="18" s="1"/>
  <c r="BA68" i="18" s="1"/>
  <c r="BA62" i="18"/>
  <c r="BB48" i="18" l="1"/>
  <c r="BB49" i="18" s="1"/>
  <c r="BB52" i="18" s="1"/>
  <c r="BC40" i="18"/>
  <c r="BB43" i="18"/>
  <c r="BB53" i="18" l="1"/>
  <c r="BB60" i="18"/>
  <c r="BB61" i="18" s="1"/>
  <c r="BB65" i="18"/>
  <c r="BC46" i="18"/>
  <c r="BC41" i="18"/>
  <c r="BB66" i="18" l="1"/>
  <c r="BB67" i="18" s="1"/>
  <c r="BB68" i="18" s="1"/>
  <c r="BB62" i="18"/>
  <c r="BC42" i="18"/>
  <c r="BC47" i="18"/>
  <c r="BC48" i="18" l="1"/>
  <c r="BC49" i="18" s="1"/>
  <c r="BC52" i="18" s="1"/>
  <c r="BC43" i="18"/>
  <c r="BD40" i="18"/>
  <c r="BC60" i="18" l="1"/>
  <c r="BC61" i="18" s="1"/>
  <c r="BC53" i="18"/>
  <c r="BC65" i="18"/>
  <c r="BD46" i="18"/>
  <c r="BD41" i="18"/>
  <c r="BD42" i="18" l="1"/>
  <c r="BD47" i="18"/>
  <c r="BC66" i="18"/>
  <c r="BC67" i="18" s="1"/>
  <c r="BC68" i="18" s="1"/>
  <c r="BC62" i="18"/>
  <c r="BD48" i="18" l="1"/>
  <c r="BD49" i="18" s="1"/>
  <c r="BD52" i="18" s="1"/>
  <c r="BD43" i="18"/>
  <c r="BD53" i="18" l="1"/>
  <c r="BD60" i="18"/>
  <c r="BD61" i="18" s="1"/>
  <c r="BD65" i="18"/>
  <c r="BD66" i="18" l="1"/>
  <c r="BD67" i="18" s="1"/>
  <c r="BD68" i="18" s="1"/>
  <c r="BD62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tc={7211C517-1C15-D944-A3B4-EF5DD0DE2016}</author>
    <author>tc={53058137-9D82-F748-89A1-76E8F18F2ADC}</author>
    <author>tc={DD51C82B-44C7-5E42-BFB5-B33F90E298F9}</author>
    <author>tc={A0177E47-7479-A642-AB39-32E65A2A419F}</author>
    <author>tc={3C08CF4C-865F-4A40-854A-8574B955B0D5}</author>
    <author>tc={1FF6C3EB-A786-4941-87CB-9800F93C7A50}</author>
    <author>tc={3DCE9427-FEFC-9346-A543-9A8EA1A9B28C}</author>
    <author>tc={D0754970-6C9D-C04A-B802-26D42BCEDFF4}</author>
    <author>tc={9A1A0C91-8627-C844-A74B-63AB3AF6F974}</author>
    <author>tc={B294FD3C-F4ED-6F49-87A1-542E2C065E22}</author>
    <author>tc={A8441F88-3131-E743-A503-6C48B6975527}</author>
    <author>tc={EEF135E5-340C-7B48-A4FE-18BC0736009F}</author>
  </authors>
  <commentList>
    <comment ref="C15" authorId="0" shapeId="0" xr:uid="{7211C517-1C15-D944-A3B4-EF5DD0DE201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Paiement FDJ</t>
      </text>
    </comment>
    <comment ref="D15" authorId="1" shapeId="0" xr:uid="{53058137-9D82-F748-89A1-76E8F18F2AD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Paiement FDJ</t>
      </text>
    </comment>
    <comment ref="F15" authorId="2" shapeId="0" xr:uid="{DD51C82B-44C7-5E42-BFB5-B33F90E298F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Chiffre d’affaire</t>
      </text>
    </comment>
    <comment ref="G15" authorId="3" shapeId="0" xr:uid="{A0177E47-7479-A642-AB39-32E65A2A419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FDJ</t>
      </text>
    </comment>
    <comment ref="H15" authorId="4" shapeId="0" xr:uid="{3C08CF4C-865F-4A40-854A-8574B955B0D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CIR/CII</t>
      </text>
    </comment>
    <comment ref="C16" authorId="5" shapeId="0" xr:uid="{1FF6C3EB-A786-4941-87CB-9800F93C7A5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Paiement salaires novembre 2019 + decembre 2019</t>
      </text>
    </comment>
    <comment ref="D16" authorId="6" shapeId="0" xr:uid="{3DCE9427-FEFC-9346-A543-9A8EA1A9B28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Paiement salaires janvier</t>
      </text>
    </comment>
    <comment ref="C17" authorId="7" shapeId="0" xr:uid="{D0754970-6C9D-C04A-B802-26D42BCEDFF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Levée de fond Thomas Bianchi</t>
      </text>
    </comment>
    <comment ref="D17" authorId="8" shapeId="0" xr:uid="{9A1A0C91-8627-C844-A74B-63AB3AF6F97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Levée de fonds ayomi + apport 2 actionnaires</t>
      </text>
    </comment>
    <comment ref="H17" authorId="9" shapeId="0" xr:uid="{B294FD3C-F4ED-6F49-87A1-542E2C065E2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Levée de fonds</t>
      </text>
    </comment>
    <comment ref="J17" authorId="10" shapeId="0" xr:uid="{A8441F88-3131-E743-A503-6C48B6975527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Complément BPI suite à la levée de fonds</t>
      </text>
    </comment>
    <comment ref="G23" authorId="11" shapeId="0" xr:uid="{EEF135E5-340C-7B48-A4FE-18BC0736009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Découvert max à anticiper avant levée de fonds (qui doit intervenir entre avril et juin, mais compte tenu de la situation nous préférons avancer sur juin)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<sst xmlns="http://schemas.openxmlformats.org/spreadsheetml/2006/main" count="2850" uniqueCount="676">
  <si>
    <t>May</t>
  </si>
  <si>
    <t>Type</t>
  </si>
  <si>
    <t>Name</t>
  </si>
  <si>
    <t>Full-Time</t>
  </si>
  <si>
    <t>Part-Time</t>
  </si>
  <si>
    <t>Contractors</t>
  </si>
  <si>
    <t>Hourly</t>
  </si>
  <si>
    <t>Benefits</t>
  </si>
  <si>
    <t>Yes</t>
  </si>
  <si>
    <t>No</t>
  </si>
  <si>
    <t>Varied</t>
  </si>
  <si>
    <t>Bonus</t>
  </si>
  <si>
    <t>Employee No.</t>
  </si>
  <si>
    <t>Hourly Wage</t>
  </si>
  <si>
    <t>Net Pay</t>
  </si>
  <si>
    <t>Hrs/Month</t>
  </si>
  <si>
    <t>Hrs/Day</t>
  </si>
  <si>
    <t>Month Start</t>
  </si>
  <si>
    <t>Month End</t>
  </si>
  <si>
    <t>Total Wages and Bonuses</t>
  </si>
  <si>
    <t>Total Payable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</si>
  <si>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</si>
  <si>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</si>
  <si>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</si>
  <si>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</si>
  <si>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</si>
  <si>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</si>
  <si>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</si>
  <si>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</si>
  <si>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</si>
  <si>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</si>
  <si>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</si>
  <si>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Growth Rate</t>
  </si>
  <si>
    <t>Avg Hourly Wage</t>
  </si>
  <si>
    <t>Wage Paid</t>
  </si>
  <si>
    <t># Workers</t>
  </si>
  <si>
    <t>Payroll Forecast</t>
  </si>
  <si>
    <t>Total Wages</t>
  </si>
  <si>
    <t># Work Days</t>
  </si>
  <si>
    <t>Start Date</t>
  </si>
  <si>
    <t>End Date</t>
  </si>
  <si>
    <t>Taxes and Benefits</t>
  </si>
  <si>
    <t>Net Work Days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</si>
  <si>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</si>
  <si>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</si>
  <si>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</si>
  <si>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</si>
  <si>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</si>
  <si>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</si>
  <si>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</si>
  <si>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</si>
  <si>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</si>
  <si>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</si>
  <si>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</si>
  <si>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Revenue</t>
  </si>
  <si>
    <t>COGS</t>
  </si>
  <si>
    <t>Gross Margin</t>
  </si>
  <si>
    <t>Operating Expenses</t>
  </si>
  <si>
    <t>Advertising &amp; Promotion</t>
  </si>
  <si>
    <t>Insurance</t>
  </si>
  <si>
    <t>Maintenance</t>
  </si>
  <si>
    <t>General &amp; Administrative</t>
  </si>
  <si>
    <t>Office Rent</t>
  </si>
  <si>
    <t>Travel, Meals and Entertainment</t>
  </si>
  <si>
    <t>Wages and Benefits</t>
  </si>
  <si>
    <t>Utilities</t>
  </si>
  <si>
    <t>Technology</t>
  </si>
  <si>
    <t>Total Expenses</t>
  </si>
  <si>
    <t>Earnings Before Interest &amp; Taxes</t>
  </si>
  <si>
    <t>Interest Expense</t>
  </si>
  <si>
    <t>Earnings Before Taxes</t>
  </si>
  <si>
    <t>Income Taxes</t>
  </si>
  <si>
    <t>Net Earnings</t>
  </si>
  <si>
    <t>Income Statement</t>
  </si>
  <si>
    <t>FY</t>
  </si>
  <si>
    <t>Depreciation &amp; Amortization</t>
  </si>
  <si>
    <t>Marketing</t>
  </si>
  <si>
    <t>Professional Fees</t>
  </si>
  <si>
    <t>Miscellaneous</t>
  </si>
  <si>
    <t>Assumptions</t>
  </si>
  <si>
    <t>Strictly Confidential</t>
  </si>
  <si>
    <t>Table of Contents</t>
  </si>
  <si>
    <t>Monthly Payroll Breakdown</t>
  </si>
  <si>
    <t>Total</t>
  </si>
  <si>
    <t>Balance Sheet</t>
  </si>
  <si>
    <t>Assets</t>
  </si>
  <si>
    <t>Current assets:</t>
  </si>
  <si>
    <t>Cash</t>
  </si>
  <si>
    <t>Accounts Receivable</t>
  </si>
  <si>
    <t>Prepaid expenses</t>
  </si>
  <si>
    <t>Inventory</t>
  </si>
  <si>
    <t>Total current assets</t>
  </si>
  <si>
    <t>Property &amp; Equipment</t>
  </si>
  <si>
    <t>Total Assets</t>
  </si>
  <si>
    <t>Liabilities</t>
  </si>
  <si>
    <t>Current liabilities:</t>
  </si>
  <si>
    <t>Accounts Payable</t>
  </si>
  <si>
    <t>Accrued expenses</t>
  </si>
  <si>
    <t>Total current liabilities</t>
  </si>
  <si>
    <t>Long-term debt</t>
  </si>
  <si>
    <t>Total Liabilities</t>
  </si>
  <si>
    <t>Shareholder's Equity</t>
  </si>
  <si>
    <t>Equity Capital</t>
  </si>
  <si>
    <t>Retained Earnings</t>
  </si>
  <si>
    <t>Total Liabilities &amp; Shareholder's Equity</t>
  </si>
  <si>
    <t>Check</t>
  </si>
  <si>
    <t>Accounts Receivable (Days)</t>
  </si>
  <si>
    <t>Inventory (Days)</t>
  </si>
  <si>
    <t>Accounts Payable (Days)</t>
  </si>
  <si>
    <t>Debt Issuance (Repayment)</t>
  </si>
  <si>
    <t>Equity Issued (Repaid)</t>
  </si>
  <si>
    <t>Capital Expenditures</t>
  </si>
  <si>
    <t>Total COGS</t>
  </si>
  <si>
    <t>Sales Forecast Breakdown</t>
  </si>
  <si>
    <t>Employee Bonuses</t>
  </si>
  <si>
    <t>Bonuses</t>
  </si>
  <si>
    <t>Expenses</t>
  </si>
  <si>
    <t>Total Operating Expenses</t>
  </si>
  <si>
    <t>Supporting Schedules</t>
  </si>
  <si>
    <t>Working Capital Schedule</t>
  </si>
  <si>
    <t>Net Working Capital (NWC)</t>
  </si>
  <si>
    <t>Change in NWC</t>
  </si>
  <si>
    <t>Depreciation Schedule</t>
  </si>
  <si>
    <t>PPE Opening</t>
  </si>
  <si>
    <t>Plus Capex</t>
  </si>
  <si>
    <t>Less Depreciation</t>
  </si>
  <si>
    <t>PPE Closing</t>
  </si>
  <si>
    <t>Debt &amp; Interest Schedule</t>
  </si>
  <si>
    <t>Debt Opening</t>
  </si>
  <si>
    <t>Issuance (repayment)</t>
  </si>
  <si>
    <t>Debt Closing</t>
  </si>
  <si>
    <t>Employee Pension</t>
  </si>
  <si>
    <t>Depreciation &amp; Amortization (% of PP&amp;E Open Bal)</t>
  </si>
  <si>
    <t>Interest Expense (% of Debt Open Bal)</t>
  </si>
  <si>
    <t>Prepaid Expenses Growth Rate</t>
  </si>
  <si>
    <t>Accrued Expenses Growth Rate</t>
  </si>
  <si>
    <t>Cash Flow Statement</t>
  </si>
  <si>
    <t>Operating Cash Flow</t>
  </si>
  <si>
    <t>Plus: Depreciation &amp; Amortization</t>
  </si>
  <si>
    <t>Less: Changes in Working Capital</t>
  </si>
  <si>
    <t>Cash from Operations</t>
  </si>
  <si>
    <t>Investing Cash Flow</t>
  </si>
  <si>
    <t>Investments in Property &amp; Equipment</t>
  </si>
  <si>
    <t>Cash from Investing</t>
  </si>
  <si>
    <t>Financing Cash Flow</t>
  </si>
  <si>
    <t>Issuance (repayment) of debt</t>
  </si>
  <si>
    <t>Cash from Financing</t>
  </si>
  <si>
    <t>Net Increase (decrease) in Cash</t>
  </si>
  <si>
    <t>Opening Cash Balance</t>
  </si>
  <si>
    <t>Closing Cash Balance</t>
  </si>
  <si>
    <t>Average</t>
  </si>
  <si>
    <t>Financial Ratio Analysis</t>
  </si>
  <si>
    <t>Profitability Ratios</t>
  </si>
  <si>
    <t>Operating Margin</t>
  </si>
  <si>
    <t>Net Profit Margin</t>
  </si>
  <si>
    <t>Efficiency Ratios</t>
  </si>
  <si>
    <t>Tax Ratio</t>
  </si>
  <si>
    <t>Interest Coverage Ratio</t>
  </si>
  <si>
    <t>Inventory Turnover</t>
  </si>
  <si>
    <t>Inventory Days</t>
  </si>
  <si>
    <t>Receivable Turnover</t>
  </si>
  <si>
    <t>Receivable Days</t>
  </si>
  <si>
    <t>Payables Turnover</t>
  </si>
  <si>
    <t>Payables Days</t>
  </si>
  <si>
    <t>Working Capital Requirement</t>
  </si>
  <si>
    <t>Working Capital Funding Gap</t>
  </si>
  <si>
    <t>PP&amp;E Turnover</t>
  </si>
  <si>
    <t>Total Asset Turnover</t>
  </si>
  <si>
    <t>Net Asset Turnover</t>
  </si>
  <si>
    <t>Liquidity Ratios</t>
  </si>
  <si>
    <t>Current Ratio</t>
  </si>
  <si>
    <t>Acid Test (Quick Ratio)</t>
  </si>
  <si>
    <t>Leverage Ratios</t>
  </si>
  <si>
    <t>Debt to Equity</t>
  </si>
  <si>
    <t>Debt to Tangible Net Worth</t>
  </si>
  <si>
    <t>Total Liabilities to Equity</t>
  </si>
  <si>
    <t>Total Assets to Equity</t>
  </si>
  <si>
    <t>Coverage Ratios</t>
  </si>
  <si>
    <t>President</t>
  </si>
  <si>
    <t>Managing Director</t>
  </si>
  <si>
    <t>Event director</t>
  </si>
  <si>
    <t>Event manager</t>
  </si>
  <si>
    <t>CTO</t>
  </si>
  <si>
    <t>Senior developer</t>
  </si>
  <si>
    <t>UX designer</t>
  </si>
  <si>
    <t>Product owner</t>
  </si>
  <si>
    <t>Product owner Playce</t>
  </si>
  <si>
    <t>Product owner Player Tag</t>
  </si>
  <si>
    <t>Senior software engineer</t>
  </si>
  <si>
    <t>Confirmed software engineer</t>
  </si>
  <si>
    <t>Offshore &gt; UI designer</t>
  </si>
  <si>
    <t>Offshore &gt; Confirmed software engineer</t>
  </si>
  <si>
    <t>Offshore &gt; Juinior software engineer</t>
  </si>
  <si>
    <t>Product owner Pro</t>
  </si>
  <si>
    <t>Lead developer</t>
  </si>
  <si>
    <t>Offshore &gt; UI designer 2</t>
  </si>
  <si>
    <t>Offshore &gt; Juinior software engineer 2</t>
  </si>
  <si>
    <t>Offshore &gt; Confirmed software engineer 2</t>
  </si>
  <si>
    <t>Senior developer 1</t>
  </si>
  <si>
    <t>Senior developer 2</t>
  </si>
  <si>
    <t>Senior developer 3</t>
  </si>
  <si>
    <t>Senior software engineer 1</t>
  </si>
  <si>
    <t>Senior software engineer 2</t>
  </si>
  <si>
    <t>Offshore &gt; Junior software engineer 3</t>
  </si>
  <si>
    <t>Offshore &gt; Junior software engineer 4</t>
  </si>
  <si>
    <t>Offshore &gt; Junor software engineer 3</t>
  </si>
  <si>
    <t>Offshore &gt; Junior software engineer 6</t>
  </si>
  <si>
    <t>Offshore &gt; Junior software engineer 5</t>
  </si>
  <si>
    <t>URSSAF</t>
  </si>
  <si>
    <t>Impot à la source</t>
  </si>
  <si>
    <t>Monthly Wage including all charges</t>
  </si>
  <si>
    <t>Offshore &gt; Junior software engineer</t>
  </si>
  <si>
    <t>Estimated closing time</t>
  </si>
  <si>
    <t>&gt; City halls</t>
  </si>
  <si>
    <t>&gt; Brands</t>
  </si>
  <si>
    <t>days</t>
  </si>
  <si>
    <t>Estimated configuration time</t>
  </si>
  <si>
    <t>&gt;&gt;&gt; Brands</t>
  </si>
  <si>
    <t>&gt;&gt;&gt; City halls</t>
  </si>
  <si>
    <t>&gt; Senior account manager</t>
  </si>
  <si>
    <t>&gt; Junior account manager</t>
  </si>
  <si>
    <t>per website</t>
  </si>
  <si>
    <t>Average website turnover per business developer</t>
  </si>
  <si>
    <t>% of customers over time</t>
  </si>
  <si>
    <t>Growth rate</t>
  </si>
  <si>
    <t>Number of monthly meetings</t>
  </si>
  <si>
    <t>Closing rate</t>
  </si>
  <si>
    <t>Sales director</t>
  </si>
  <si>
    <t>&gt; Sales director / President / DG</t>
  </si>
  <si>
    <t>Managing director</t>
  </si>
  <si>
    <t>Senior account manager</t>
  </si>
  <si>
    <t>Junior account manager</t>
  </si>
  <si>
    <t>Monthly wage</t>
  </si>
  <si>
    <t>Number of meetings</t>
  </si>
  <si>
    <t>Total meetings</t>
  </si>
  <si>
    <t>Total sales</t>
  </si>
  <si>
    <t>month</t>
  </si>
  <si>
    <t>months</t>
  </si>
  <si>
    <t>Rate performance monthly growth</t>
  </si>
  <si>
    <t>Total new sales</t>
  </si>
  <si>
    <t>New sales</t>
  </si>
  <si>
    <t>Cumulated sales</t>
  </si>
  <si>
    <t>Total cumulated sales</t>
  </si>
  <si>
    <t>Operational sales team</t>
  </si>
  <si>
    <t>Revenue ratio per employee</t>
  </si>
  <si>
    <t>Sales Director</t>
  </si>
  <si>
    <t>Meetings per employee</t>
  </si>
  <si>
    <t>Average sales price</t>
  </si>
  <si>
    <t>TOTAL COGS</t>
  </si>
  <si>
    <t>Monthly turnover</t>
  </si>
  <si>
    <t>GROSS MARGIN</t>
  </si>
  <si>
    <t>GM rate %</t>
  </si>
  <si>
    <t>Advertising</t>
  </si>
  <si>
    <t>Current monthly budget</t>
  </si>
  <si>
    <t>€/month</t>
  </si>
  <si>
    <t>Post fundraising start monthly budget</t>
  </si>
  <si>
    <t>Monthly growth rate</t>
  </si>
  <si>
    <t>/month</t>
  </si>
  <si>
    <t>Office rent</t>
  </si>
  <si>
    <t>Renting</t>
  </si>
  <si>
    <t>Electricity &amp; heater</t>
  </si>
  <si>
    <t>Internet &amp; telephone</t>
  </si>
  <si>
    <t>Servers (except BM COGS)</t>
  </si>
  <si>
    <t>Design tools</t>
  </si>
  <si>
    <t>Dev tools</t>
  </si>
  <si>
    <t>Professional fees</t>
  </si>
  <si>
    <t>Lawyer</t>
  </si>
  <si>
    <t>Accountant</t>
  </si>
  <si>
    <t>HR</t>
  </si>
  <si>
    <t>Business introducer (current)</t>
  </si>
  <si>
    <t>Business introducer (post fundraising)</t>
  </si>
  <si>
    <t>Fundraising lawyer fee</t>
  </si>
  <si>
    <t>Travel (current)</t>
  </si>
  <si>
    <t>Meals (current)</t>
  </si>
  <si>
    <t>Entertainment (current)</t>
  </si>
  <si>
    <t>Travel (post fundraising)</t>
  </si>
  <si>
    <t>Meals (post fundraising)</t>
  </si>
  <si>
    <t>Entertainment (post fundraising)</t>
  </si>
  <si>
    <t>Number of cars needed</t>
  </si>
  <si>
    <t>Average budget by car</t>
  </si>
  <si>
    <t>Current budget</t>
  </si>
  <si>
    <t>% of other expenses</t>
  </si>
  <si>
    <t>Depreciation and amortization</t>
  </si>
  <si>
    <t>Number of computers needed 2020</t>
  </si>
  <si>
    <t>Average price per computer</t>
  </si>
  <si>
    <t>Years of depreciation</t>
  </si>
  <si>
    <t>Monthly amortization</t>
  </si>
  <si>
    <t>Current depreciation</t>
  </si>
  <si>
    <t>B2B advertising</t>
  </si>
  <si>
    <t>Conferences</t>
  </si>
  <si>
    <t>Booth</t>
  </si>
  <si>
    <t>Interest expense</t>
  </si>
  <si>
    <t>Interest rate</t>
  </si>
  <si>
    <t>Websites audience</t>
  </si>
  <si>
    <t>Average number of user per white label website</t>
  </si>
  <si>
    <t>&gt; Brands (first month)</t>
  </si>
  <si>
    <t>&gt; City halls (first month)</t>
  </si>
  <si>
    <t>Digital acquisition</t>
  </si>
  <si>
    <t>Facebook % of budget</t>
  </si>
  <si>
    <t>Twitter % of budget</t>
  </si>
  <si>
    <t>Google ads % of budget</t>
  </si>
  <si>
    <t>Others % of budget</t>
  </si>
  <si>
    <t>€/visitor</t>
  </si>
  <si>
    <t>Facebook new visitor cost</t>
  </si>
  <si>
    <t>Twitter new visitor cost</t>
  </si>
  <si>
    <t>Google new visitor cost</t>
  </si>
  <si>
    <t>Others new visitor cost</t>
  </si>
  <si>
    <t>Home page acquisition %</t>
  </si>
  <si>
    <t>Users</t>
  </si>
  <si>
    <t>New websites / month</t>
  </si>
  <si>
    <t>Cumulated websites</t>
  </si>
  <si>
    <t>New users per month</t>
  </si>
  <si>
    <t>From new websites</t>
  </si>
  <si>
    <t>From existing websites (10% growth rate)</t>
  </si>
  <si>
    <t>Cumulated from new websites</t>
  </si>
  <si>
    <t>Total users from white label websites</t>
  </si>
  <si>
    <t>Total advertising budget</t>
  </si>
  <si>
    <t>&gt; Facebook budget</t>
  </si>
  <si>
    <t>&gt; Twitter budget</t>
  </si>
  <si>
    <t>&gt; Google ads budget</t>
  </si>
  <si>
    <t>&gt; Others budget</t>
  </si>
  <si>
    <t>Number of new visitors</t>
  </si>
  <si>
    <t>&gt; Facebook visitors</t>
  </si>
  <si>
    <t>&gt; Twitter visitors</t>
  </si>
  <si>
    <t>&gt; Google ads visitors</t>
  </si>
  <si>
    <t>&gt; Others visitors</t>
  </si>
  <si>
    <t>Total visitors</t>
  </si>
  <si>
    <t>Number of new users</t>
  </si>
  <si>
    <t>&gt; Facebook users</t>
  </si>
  <si>
    <t>&gt; Twitter users</t>
  </si>
  <si>
    <t>&gt; Google ads users</t>
  </si>
  <si>
    <t>&gt; Others users</t>
  </si>
  <si>
    <t>Total new users</t>
  </si>
  <si>
    <t>Cumulated users from digital marketing</t>
  </si>
  <si>
    <t>Monthly churn rate</t>
  </si>
  <si>
    <t>Viral free acquisition</t>
  </si>
  <si>
    <t xml:space="preserve">Total WLW + Digital users </t>
  </si>
  <si>
    <t xml:space="preserve">Viral free acquisition </t>
  </si>
  <si>
    <t>Cumulated users from viral free acquisition</t>
  </si>
  <si>
    <t>Total users</t>
  </si>
  <si>
    <t>Churn</t>
  </si>
  <si>
    <t>Viral free acquisition (VF)</t>
  </si>
  <si>
    <t>Acquisition through digital marketing (DM)</t>
  </si>
  <si>
    <t>Acquisition through white label websites (WLW)</t>
  </si>
  <si>
    <t>Global acquisition cost</t>
  </si>
  <si>
    <t>Cumulated WLW + DM + VF</t>
  </si>
  <si>
    <t>&gt; Total new users /month</t>
  </si>
  <si>
    <t>&gt; New users growth rate</t>
  </si>
  <si>
    <t>Total active users</t>
  </si>
  <si>
    <t xml:space="preserve">Monthly active users </t>
  </si>
  <si>
    <t>Offshore &gt; Juinor software engineer</t>
  </si>
  <si>
    <t>Number of ressources needed</t>
  </si>
  <si>
    <t>Daily wage</t>
  </si>
  <si>
    <t>Bugdet</t>
  </si>
  <si>
    <t>Development start date</t>
  </si>
  <si>
    <t>Development end date</t>
  </si>
  <si>
    <t>Duration (days)</t>
  </si>
  <si>
    <t>Test and maintenance start date</t>
  </si>
  <si>
    <t>Test and maintenance end date</t>
  </si>
  <si>
    <t>Development costs</t>
  </si>
  <si>
    <t>Test and maintenance costs</t>
  </si>
  <si>
    <t>TOTAL</t>
  </si>
  <si>
    <t>TEST TEAM</t>
  </si>
  <si>
    <t>DEVELOPMENT TEAM</t>
  </si>
  <si>
    <t>Servers &amp; tools</t>
  </si>
  <si>
    <t>Bank commission</t>
  </si>
  <si>
    <t>Servers &amp; tools (first month)</t>
  </si>
  <si>
    <t>Next years projections - 2021</t>
  </si>
  <si>
    <t>2021 monthly growth rate</t>
  </si>
  <si>
    <t>2022 monthly growth rate</t>
  </si>
  <si>
    <t>2023 monthly growth rate</t>
  </si>
  <si>
    <t>New monthly users</t>
  </si>
  <si>
    <t>Cumulated users</t>
  </si>
  <si>
    <t>&gt; Total active users</t>
  </si>
  <si>
    <t>Next years projections - 2022</t>
  </si>
  <si>
    <t>Next years projections - 2023</t>
  </si>
  <si>
    <t>NEXT YEARS PROJECTIONS (2021-2024)</t>
  </si>
  <si>
    <t>Business modèle assumptions</t>
  </si>
  <si>
    <t>% of B2B accounts vs B2C accounts</t>
  </si>
  <si>
    <t>% of B2B accounts using this BM</t>
  </si>
  <si>
    <t>% of B2B accounts using this BM (1st mth)</t>
  </si>
  <si>
    <t>Brands budgets</t>
  </si>
  <si>
    <t>Small brand</t>
  </si>
  <si>
    <t>Medium brand</t>
  </si>
  <si>
    <t>Large brand</t>
  </si>
  <si>
    <t>% of type of brands using this BM</t>
  </si>
  <si>
    <t>Number of B2B accounts 2020</t>
  </si>
  <si>
    <t>Number of B2B accounts</t>
  </si>
  <si>
    <t>Next years projections - 2024</t>
  </si>
  <si>
    <t>Number of B2B accounts 2021</t>
  </si>
  <si>
    <t>Number of B2B accounts 2022</t>
  </si>
  <si>
    <t>Number of B2B accounts 2023</t>
  </si>
  <si>
    <t>Number of B2B accounts 2024</t>
  </si>
  <si>
    <t xml:space="preserve">TOTAL </t>
  </si>
  <si>
    <t>Number of B2B accounts using this BM</t>
  </si>
  <si>
    <t>Amount invested in sponsoring</t>
  </si>
  <si>
    <t>WGF commission fee</t>
  </si>
  <si>
    <t>/sponsoring offer</t>
  </si>
  <si>
    <t>Commission fee revenue</t>
  </si>
  <si>
    <t>Bank fee on WGF revenue</t>
  </si>
  <si>
    <t>Breakeven / Profitability</t>
  </si>
  <si>
    <t>Monthly cash-flow</t>
  </si>
  <si>
    <t>Cumulated cash-flow</t>
  </si>
  <si>
    <t>Very large brand</t>
  </si>
  <si>
    <t>B2B accounts using this BM</t>
  </si>
  <si>
    <t>Number of customers</t>
  </si>
  <si>
    <t>Customers per type</t>
  </si>
  <si>
    <t>Revenue per type</t>
  </si>
  <si>
    <t>TOTAL REVENUE</t>
  </si>
  <si>
    <t>N° of months before breakeven</t>
  </si>
  <si>
    <t>N° of months before 1st revenues</t>
  </si>
  <si>
    <t>Monthly Growth rate</t>
  </si>
  <si>
    <t>Growth</t>
  </si>
  <si>
    <t>Monthly growth rate year 1</t>
  </si>
  <si>
    <t>Monthly growth rate year 2</t>
  </si>
  <si>
    <t>Monthly growth rate year 3</t>
  </si>
  <si>
    <t>Monthly growth rate year 4</t>
  </si>
  <si>
    <t>Total number of organization</t>
  </si>
  <si>
    <t>Launch date</t>
  </si>
  <si>
    <t>5 years Sales Forecast Breakdown</t>
  </si>
  <si>
    <t>Dividend rate</t>
  </si>
  <si>
    <t>/per year</t>
  </si>
  <si>
    <t>Turnover / share</t>
  </si>
  <si>
    <t>Number of shares</t>
  </si>
  <si>
    <t>Dividend / share</t>
  </si>
  <si>
    <t>Net result / share</t>
  </si>
  <si>
    <t>% of B2C accounts using this BM</t>
  </si>
  <si>
    <t>Sales average prices</t>
  </si>
  <si>
    <t>/sale</t>
  </si>
  <si>
    <t>Number of eshops created</t>
  </si>
  <si>
    <t>Small shops</t>
  </si>
  <si>
    <t>Medium shops</t>
  </si>
  <si>
    <t>Large shops</t>
  </si>
  <si>
    <t>% of type of shops</t>
  </si>
  <si>
    <t>Total number of B2C accounts created</t>
  </si>
  <si>
    <t>Growth by month</t>
  </si>
  <si>
    <t>Number of eshops end of month</t>
  </si>
  <si>
    <t>Financial Projections</t>
  </si>
  <si>
    <t>Balance Sheet 2020</t>
  </si>
  <si>
    <t>Cash Flow Statement 2020</t>
  </si>
  <si>
    <t>Offshore &gt; Junior software engineer 2</t>
  </si>
  <si>
    <t>Number of B2C accounts using this BM</t>
  </si>
  <si>
    <t>Average content price per type of creators</t>
  </si>
  <si>
    <t>Esports event organizer</t>
  </si>
  <si>
    <t>Game publisher</t>
  </si>
  <si>
    <t>Youtubers / Twitch streamers</t>
  </si>
  <si>
    <t>% of esports event organizers vs total B2B accounts</t>
  </si>
  <si>
    <t>% of esports event organizers using this BM (1st month)</t>
  </si>
  <si>
    <t>% of game publishers using this BM (1st month)</t>
  </si>
  <si>
    <t>% of game publishers vs total B2B accounts</t>
  </si>
  <si>
    <t>% of Youtubes/twitch streamers vs total B2C accounts</t>
  </si>
  <si>
    <t>% of Youtubers / twitch streamers using this BM (1st month)</t>
  </si>
  <si>
    <t>/content sold</t>
  </si>
  <si>
    <t>Number of B2B and B2C acounts on WGF</t>
  </si>
  <si>
    <t>Total number of B2B accounts</t>
  </si>
  <si>
    <t>Total number of B2C accounts</t>
  </si>
  <si>
    <t>TOTAL N° OF POTENTIAL CUSTOMERS</t>
  </si>
  <si>
    <t>N° of EEO customers</t>
  </si>
  <si>
    <t>Media rights sold</t>
  </si>
  <si>
    <t>WGF commission fee on EEO</t>
  </si>
  <si>
    <t>Monthly growth post 2024</t>
  </si>
  <si>
    <t>N° of GP customers</t>
  </si>
  <si>
    <t>N° of YT customers</t>
  </si>
  <si>
    <t>Development assumptions</t>
  </si>
  <si>
    <t>Commission fee revenue (EEO + GP + YT)</t>
  </si>
  <si>
    <t>WGF commission fee on YT</t>
  </si>
  <si>
    <t>WGF commission fee on GP</t>
  </si>
  <si>
    <t>Run team</t>
  </si>
  <si>
    <t>Monthly run cost</t>
  </si>
  <si>
    <t>Run start date</t>
  </si>
  <si>
    <t>Total n° of content sold</t>
  </si>
  <si>
    <t>Average price per content</t>
  </si>
  <si>
    <t>Servers &amp; infrastructure cost / site</t>
  </si>
  <si>
    <t>/website</t>
  </si>
  <si>
    <t xml:space="preserve">Average transport cost per meeting </t>
  </si>
  <si>
    <t>/meeting</t>
  </si>
  <si>
    <t>Total sales team monthly wage</t>
  </si>
  <si>
    <t>Transportation</t>
  </si>
  <si>
    <t>Servers &amp; tech infrastructure</t>
  </si>
  <si>
    <t>Configuration fee (offshore team)</t>
  </si>
  <si>
    <t>Configuration cost (offshore)</t>
  </si>
  <si>
    <t>Business model Assumptions</t>
  </si>
  <si>
    <t>Develoment assumptions</t>
  </si>
  <si>
    <t>Entity</t>
  </si>
  <si>
    <t>Direction</t>
  </si>
  <si>
    <t>Sales</t>
  </si>
  <si>
    <t>Product Development</t>
  </si>
  <si>
    <t>UX UI Design</t>
  </si>
  <si>
    <t>Marketing &amp; communication</t>
  </si>
  <si>
    <t>Avg hourly wage</t>
  </si>
  <si>
    <t>Net pay FY</t>
  </si>
  <si>
    <t># Workers dec 20</t>
  </si>
  <si>
    <t>Turnover per worker</t>
  </si>
  <si>
    <t>Workers costs vs turnover</t>
  </si>
  <si>
    <t>N°</t>
  </si>
  <si>
    <t>KPI</t>
  </si>
  <si>
    <t>Plan / Actual</t>
  </si>
  <si>
    <t>Plan</t>
  </si>
  <si>
    <t>Actual</t>
  </si>
  <si>
    <t>Delta to plan</t>
  </si>
  <si>
    <t>Green</t>
  </si>
  <si>
    <t>Red</t>
  </si>
  <si>
    <t>Acquisition cost</t>
  </si>
  <si>
    <t>Conversion rate</t>
  </si>
  <si>
    <t>Item</t>
  </si>
  <si>
    <t>Monthly acquisition</t>
  </si>
  <si>
    <t>Cumulative users</t>
  </si>
  <si>
    <t>Delta</t>
  </si>
  <si>
    <t>Brand closing time (days)</t>
  </si>
  <si>
    <t>City halls closing time (days)</t>
  </si>
  <si>
    <t>Brands configuration time</t>
  </si>
  <si>
    <t>Servers/infrastructure cost</t>
  </si>
  <si>
    <t>Transportation cost</t>
  </si>
  <si>
    <t>Configuration cost</t>
  </si>
  <si>
    <t>REVENUES</t>
  </si>
  <si>
    <t>Sales team wages</t>
  </si>
  <si>
    <t>N° of websites</t>
  </si>
  <si>
    <t>Monthly growth post 2020</t>
  </si>
  <si>
    <t>Development time</t>
  </si>
  <si>
    <t>Resources needed</t>
  </si>
  <si>
    <t>Test time</t>
  </si>
  <si>
    <t>Development cost</t>
  </si>
  <si>
    <t>Test cost</t>
  </si>
  <si>
    <t>Total customers</t>
  </si>
  <si>
    <t>Total net revenues</t>
  </si>
  <si>
    <t>Net revenues</t>
  </si>
  <si>
    <t>Total cumulated revenues</t>
  </si>
  <si>
    <t>Bank and reseller fee on WGF revenue</t>
  </si>
  <si>
    <t>Gifts &amp; fan engagement</t>
  </si>
  <si>
    <t>€</t>
  </si>
  <si>
    <t>Advisory fees</t>
  </si>
  <si>
    <t>Fundraising</t>
  </si>
  <si>
    <t>API 1: Data service for betting websites to bet on esports</t>
  </si>
  <si>
    <t>API 2: Monthly subscriptions for betters for premium data</t>
  </si>
  <si>
    <t>/bet</t>
  </si>
  <si>
    <t>Monthly subscription price</t>
  </si>
  <si>
    <t>Repayment to players</t>
  </si>
  <si>
    <t>of WGF commission</t>
  </si>
  <si>
    <t>Number of betters in 2019</t>
  </si>
  <si>
    <t>Number of betters interested in esports in 2019</t>
  </si>
  <si>
    <t>% of betters interested in esports betting</t>
  </si>
  <si>
    <t>Using WGF data 1st month</t>
  </si>
  <si>
    <t>&gt; Quantity</t>
  </si>
  <si>
    <t>Audience monthly growth rate</t>
  </si>
  <si>
    <t>Number of betters using WGF API</t>
  </si>
  <si>
    <t>Type of betters</t>
  </si>
  <si>
    <t>Small betters</t>
  </si>
  <si>
    <t>Medium betters</t>
  </si>
  <si>
    <t>Large betters</t>
  </si>
  <si>
    <t>% of type using API 1</t>
  </si>
  <si>
    <t>% of type using API 2</t>
  </si>
  <si>
    <t>Total bet amount</t>
  </si>
  <si>
    <t>WGF Revenue per type</t>
  </si>
  <si>
    <t>TOTAL WGF REVENUE</t>
  </si>
  <si>
    <t>Repayment to players (COGS)</t>
  </si>
  <si>
    <t>Total revenue</t>
  </si>
  <si>
    <t>% of esports betters using premium feature (1st month)</t>
  </si>
  <si>
    <t>Spending tracking data</t>
  </si>
  <si>
    <t>KPI Tracking data</t>
  </si>
  <si>
    <t>Total net pay</t>
  </si>
  <si>
    <t>Cost per entity</t>
  </si>
  <si>
    <t>Dec 2020 Team</t>
  </si>
  <si>
    <t>Entities</t>
  </si>
  <si>
    <t>Taxes and benefits</t>
  </si>
  <si>
    <t>Bonuses (of EBIT)</t>
  </si>
  <si>
    <t>Total number of workers</t>
  </si>
  <si>
    <t>Total operating expenses</t>
  </si>
  <si>
    <t>Wages</t>
  </si>
  <si>
    <t>Churn rate</t>
  </si>
  <si>
    <t>Marketing manager</t>
  </si>
  <si>
    <t>Community manager</t>
  </si>
  <si>
    <t>WGF Commission rate</t>
  </si>
  <si>
    <t>Bank commission fee</t>
  </si>
  <si>
    <t>/transfer</t>
  </si>
  <si>
    <t>% of customers providing cash prizes</t>
  </si>
  <si>
    <t>/month/website</t>
  </si>
  <si>
    <t>Cashprizes commission revenues</t>
  </si>
  <si>
    <t>Total new customers</t>
  </si>
  <si>
    <t>Cumulated customers</t>
  </si>
  <si>
    <t xml:space="preserve">Number of customers </t>
  </si>
  <si>
    <t>Average monthly cash prize / Brands</t>
  </si>
  <si>
    <t>Average monthly cash prize / City halls</t>
  </si>
  <si>
    <t>Customers providing cash prizes</t>
  </si>
  <si>
    <t>Total amount of cash prizes</t>
  </si>
  <si>
    <t>Bank Commission fee (COGS)</t>
  </si>
  <si>
    <t>WGF online tournaments support</t>
  </si>
  <si>
    <t>% of customers paying for WGF support</t>
  </si>
  <si>
    <t>Average number of tournaments per month</t>
  </si>
  <si>
    <t>Average revenue per tournament</t>
  </si>
  <si>
    <t>Customers paying for WGF support</t>
  </si>
  <si>
    <t>Number of tournaments to organize</t>
  </si>
  <si>
    <t>Total revenue for WGF</t>
  </si>
  <si>
    <t>Average cost on each tournament</t>
  </si>
  <si>
    <t>Cost on each tournament (COGS)</t>
  </si>
  <si>
    <t>WGF offline tournaments support</t>
  </si>
  <si>
    <t>Average number of tournaments per customer</t>
  </si>
  <si>
    <t>/year</t>
  </si>
  <si>
    <t>Tournaments and events ticketing revenue</t>
  </si>
  <si>
    <t>Average number of online tournaments per month</t>
  </si>
  <si>
    <t>/customer</t>
  </si>
  <si>
    <t>Average number of offline tournaments per month</t>
  </si>
  <si>
    <t>% of online tournaments with paying entry</t>
  </si>
  <si>
    <t>Average price of entry ticket</t>
  </si>
  <si>
    <t>% of offline tournaments with paying entry</t>
  </si>
  <si>
    <t>Average price of players entry ticket</t>
  </si>
  <si>
    <t>Average price of spectators entry ticket</t>
  </si>
  <si>
    <t>Average number of players per tournament</t>
  </si>
  <si>
    <t>Average number of spectators per event</t>
  </si>
  <si>
    <t>Average number of players per event</t>
  </si>
  <si>
    <t>ONLINE TOURNAMENTS</t>
  </si>
  <si>
    <t>Total number of online tournaments</t>
  </si>
  <si>
    <t>Number of tournaments with paying tickets</t>
  </si>
  <si>
    <t>Total € amount of paying tickets</t>
  </si>
  <si>
    <t>Bank commission fee (COGS)</t>
  </si>
  <si>
    <t>OFFLINE TOURNAMENTS</t>
  </si>
  <si>
    <t>Total number of offline tournaments</t>
  </si>
  <si>
    <t>Offline tournaments with paying entry</t>
  </si>
  <si>
    <t>Total € amount of players tickets</t>
  </si>
  <si>
    <t>Total € amount of spectators tickets</t>
  </si>
  <si>
    <t xml:space="preserve">Total </t>
  </si>
  <si>
    <t>Total WGF revenue</t>
  </si>
  <si>
    <t>Total commission fee (COGS)</t>
  </si>
  <si>
    <t>Bank fee on cash prizes</t>
  </si>
  <si>
    <t>Online tournaments management costs</t>
  </si>
  <si>
    <t>Offline tournaments management costs</t>
  </si>
  <si>
    <t>Bank fee on ticketing</t>
  </si>
  <si>
    <t>COGS except wages</t>
  </si>
  <si>
    <t>COGS EXCEPT WAGES</t>
  </si>
  <si>
    <t>Total charges</t>
  </si>
  <si>
    <t>Monthly wages including social charges</t>
  </si>
  <si>
    <t>JEI</t>
  </si>
  <si>
    <t>Oui</t>
  </si>
  <si>
    <t>Decrease of social charges</t>
  </si>
  <si>
    <t>Users valuation</t>
  </si>
  <si>
    <t>€/user</t>
  </si>
  <si>
    <t>Dashboards</t>
  </si>
  <si>
    <t>KPI Dashboard</t>
  </si>
  <si>
    <t>Spending dashboard</t>
  </si>
  <si>
    <t>Sales breakdown</t>
  </si>
  <si>
    <t>Payroll</t>
  </si>
  <si>
    <t>Sales &amp; business models</t>
  </si>
  <si>
    <t>Balance sheet</t>
  </si>
  <si>
    <t>Analysis &amp; audience</t>
  </si>
  <si>
    <t>Cash flow</t>
  </si>
  <si>
    <t>BM1 : White label websites</t>
  </si>
  <si>
    <t>BM2 : WLW Side revenues</t>
  </si>
  <si>
    <t>BM3 : Advertising</t>
  </si>
  <si>
    <t>BM4 : Sponsoring marketplace</t>
  </si>
  <si>
    <t>BM5 : Digital goods marketplace</t>
  </si>
  <si>
    <t>BM6 : Media rights marketplace</t>
  </si>
  <si>
    <t>BM7 : Titrisation</t>
  </si>
  <si>
    <t>BM8 : Cash to digital</t>
  </si>
  <si>
    <t>Type of sales</t>
  </si>
  <si>
    <t>Average number of sales per month</t>
  </si>
  <si>
    <t>Number of people reached by game publisher</t>
  </si>
  <si>
    <t>/1st month</t>
  </si>
  <si>
    <t>Monthly growth</t>
  </si>
  <si>
    <t>Users paying first month</t>
  </si>
  <si>
    <t>Number of potential customers</t>
  </si>
  <si>
    <t>Number of paying users</t>
  </si>
  <si>
    <t>WGF Commission fee</t>
  </si>
  <si>
    <t>WGF revenues</t>
  </si>
  <si>
    <t>Commission fee</t>
  </si>
  <si>
    <t>Garantied payments (revenues, credit taxes)</t>
  </si>
  <si>
    <t>2019 Debt payment</t>
  </si>
  <si>
    <t>Subvention and low interest debt</t>
  </si>
  <si>
    <t xml:space="preserve">Fundraising </t>
  </si>
  <si>
    <t>Subventions and low interest debt</t>
  </si>
  <si>
    <t>Growth year 1</t>
  </si>
  <si>
    <t>Growth year 2</t>
  </si>
  <si>
    <t>Growth year 3</t>
  </si>
  <si>
    <t>Growth year 4</t>
  </si>
  <si>
    <t>Growth year 5</t>
  </si>
  <si>
    <t>Adding growth rate</t>
  </si>
  <si>
    <t>% of WGF commission repayed to players</t>
  </si>
  <si>
    <t>/commission 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</si>
</sst>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 * #,##0.00_)\ &quot;€&quot;_ ;_ * \(#,##0.00\)\ &quot;€&quot;_ ;_ * &quot;-&quot;??_)\ &quot;€&quot;_ ;_ @_ "/>
    <numFmt numFmtId="164" formatCode="_(&quot;$&quot;* #,##0_);_(&quot;$&quot;* \(#,##0\);_(&quot;$&quot;* &quot;-&quot;_);_(@_)"/>
    <numFmt numFmtId="165" formatCode="_(* #,##0_);_(* \(#,##0\);_(* &quot;-&quot;_);_(@_)"/>
    <numFmt numFmtId="166" formatCode="_(* #,##0.00_);_(* \(#,##0.00\);_(* &quot;-&quot;??_);_(@_)"/>
    <numFmt numFmtId="167" formatCode="_(* #,##0_);_(* \(#,##0\);_(* &quot;-&quot;??_);_(@_)"/>
    <numFmt numFmtId="168" formatCode="_-* #,##0_-;\(#,##0\)_-;_-* &quot;-&quot;_-;_-@_-"/>
    <numFmt numFmtId="169" formatCode="0.0%"/>
    <numFmt numFmtId="170" formatCode="0.000"/>
    <numFmt numFmtId="171" formatCode="0.0"/>
    <numFmt numFmtId="172" formatCode="_ * #,##0.0_)\ &quot;€&quot;_ ;_ * \(#,##0.0\)\ &quot;€&quot;_ ;_ * &quot;-&quot;??_)\ &quot;€&quot;_ ;_ @_ "/>
    <numFmt numFmtId="173" formatCode="_ * #,##0_)\ &quot;€&quot;_ ;_ * \(#,##0\)\ &quot;€&quot;_ ;_ * &quot;-&quot;??_)\ &quot;€&quot;_ ;_ @_ "/>
    <numFmt numFmtId="174" formatCode="_-* #,##0\ [$€-40C]_-;\-* #,##0\ [$€-40C]_-;_-* &quot;-&quot;??\ [$€-40C]_-;_-@_-"/>
    <numFmt numFmtId="175" formatCode="_ * #,##0.000_)\ &quot;€&quot;_ ;_ * \(#,##0.000\)\ &quot;€&quot;_ ;_ * &quot;-&quot;??_)\ &quot;€&quot;_ ;_ @_ "/>
    <numFmt numFmtId="176" formatCode="yyyy\-mm\-dd;@"/>
    <numFmt numFmtId="177" formatCode="_ * #,##0_)\ &quot;€&quot;_ ;_ * \(#,##0\)\ &quot;€&quot;_ ;_ * &quot;-&quot;?_)\ &quot;€&quot;_ ;_ @_ "/>
    <numFmt numFmtId="178" formatCode="0.0000%"/>
    <numFmt numFmtId="179" formatCode="0.00000%"/>
    <numFmt numFmtId="180" formatCode="_ * #,##0.000_)\ &quot;€&quot;_ ;_ * \(#,##0.000\)\ &quot;€&quot;_ ;_ * &quot;-&quot;???_)\ &quot;€&quot;_ ;_ @_ "/>
    <numFmt numFmtId="181" formatCode="#,##0\ &quot;€&quot;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b/>
      <sz val="10"/>
      <color theme="1"/>
      <name val="Open Sans"/>
      <family val="2"/>
    </font>
    <font>
      <b/>
      <sz val="10"/>
      <color theme="0"/>
      <name val="Open Sans"/>
      <family val="2"/>
    </font>
    <font>
      <sz val="10"/>
      <color theme="0"/>
      <name val="Open Sans"/>
      <family val="2"/>
    </font>
    <font>
      <sz val="10"/>
      <name val="Open Sans"/>
      <family val="2"/>
    </font>
    <font>
      <u/>
      <sz val="11"/>
      <color theme="10"/>
      <name val="Calibri"/>
      <family val="2"/>
      <scheme val="minor"/>
    </font>
    <font>
      <i/>
      <sz val="10"/>
      <color theme="0"/>
      <name val="Open Sans"/>
      <family val="2"/>
    </font>
    <font>
      <b/>
      <sz val="10"/>
      <color rgb="FF0000FF"/>
      <name val="Open Sans"/>
      <family val="2"/>
    </font>
    <font>
      <sz val="10"/>
      <color rgb="FF0000FF"/>
      <name val="Open Sans"/>
      <family val="2"/>
    </font>
    <font>
      <i/>
      <sz val="10"/>
      <color theme="1"/>
      <name val="Open Sans"/>
      <family val="2"/>
    </font>
    <font>
      <i/>
      <sz val="10"/>
      <color rgb="FF0000FF"/>
      <name val="Open Sans"/>
      <family val="2"/>
    </font>
    <font>
      <b/>
      <sz val="10"/>
      <name val="Open Sans"/>
      <family val="2"/>
    </font>
    <font>
      <sz val="11"/>
      <color theme="1"/>
      <name val="Arial Narrow"/>
      <family val="2"/>
    </font>
    <font>
      <b/>
      <sz val="22"/>
      <color theme="1"/>
      <name val="Arial Narrow"/>
      <family val="2"/>
    </font>
    <font>
      <b/>
      <sz val="11"/>
      <color theme="1"/>
      <name val="Arial Narrow"/>
      <family val="2"/>
    </font>
    <font>
      <u/>
      <sz val="10"/>
      <color theme="10"/>
      <name val="Arial"/>
      <family val="2"/>
    </font>
    <font>
      <i/>
      <sz val="10"/>
      <name val="Open Sans"/>
      <family val="2"/>
    </font>
    <font>
      <u/>
      <sz val="10"/>
      <color theme="1"/>
      <name val="Arial"/>
      <family val="2"/>
    </font>
    <font>
      <sz val="10"/>
      <color rgb="FF000000"/>
      <name val="Open Sans"/>
      <family val="2"/>
    </font>
    <font>
      <i/>
      <sz val="9"/>
      <color rgb="FF0000FF"/>
      <name val="Open Sans"/>
      <family val="2"/>
    </font>
    <font>
      <sz val="11"/>
      <color rgb="FF0000FF"/>
      <name val="Calibri"/>
      <family val="2"/>
      <scheme val="minor"/>
    </font>
    <font>
      <b/>
      <sz val="12"/>
      <color theme="1"/>
      <name val="Open Sans"/>
      <family val="2"/>
    </font>
    <font>
      <b/>
      <sz val="14"/>
      <color theme="1"/>
      <name val="Open Sans"/>
      <family val="2"/>
    </font>
    <font>
      <b/>
      <sz val="16"/>
      <color theme="0"/>
      <name val="Open Sans"/>
      <family val="2"/>
    </font>
    <font>
      <b/>
      <sz val="16"/>
      <color theme="1"/>
      <name val="Open Sans"/>
      <family val="2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u/>
      <sz val="12"/>
      <color rgb="FF0000FF"/>
      <name val="Arial"/>
      <family val="2"/>
    </font>
    <font>
      <b/>
      <sz val="16"/>
      <color theme="0"/>
      <name val="Arial Narrow"/>
      <family val="2"/>
    </font>
    <font>
      <b/>
      <sz val="16"/>
      <color theme="1"/>
      <name val="Arial Narrow"/>
      <family val="2"/>
    </font>
    <font>
      <b/>
      <sz val="10"/>
      <color rgb="FFFF0000"/>
      <name val="Open Sans"/>
      <family val="2"/>
    </font>
  </fonts>
  <fills count="2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132E5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942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7E8"/>
        <bgColor rgb="FF000000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slantDashDot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166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649">
    <xf numFmtId="0" fontId="0" fillId="0" borderId="0" xfId="0"/>
    <xf numFmtId="0" fontId="2" fillId="0" borderId="0" xfId="0" applyFont="1"/>
    <xf numFmtId="0" fontId="3" fillId="0" borderId="0" xfId="0" applyFont="1"/>
    <xf numFmtId="0" fontId="4" fillId="2" borderId="0" xfId="0" applyFont="1" applyFill="1"/>
    <xf numFmtId="0" fontId="5" fillId="2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167" fontId="6" fillId="0" borderId="0" xfId="1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6" borderId="0" xfId="0" applyFont="1" applyFill="1"/>
    <xf numFmtId="0" fontId="4" fillId="6" borderId="0" xfId="0" applyFont="1" applyFill="1" applyAlignment="1">
      <alignment horizontal="center" wrapText="1"/>
    </xf>
    <xf numFmtId="0" fontId="4" fillId="6" borderId="0" xfId="0" applyFont="1" applyFill="1" applyAlignment="1">
      <alignment wrapText="1"/>
    </xf>
    <xf numFmtId="0" fontId="4" fillId="6" borderId="1" xfId="0" applyFont="1" applyFill="1" applyBorder="1"/>
    <xf numFmtId="0" fontId="4" fillId="6" borderId="1" xfId="0" applyFont="1" applyFill="1" applyBorder="1" applyAlignment="1">
      <alignment horizontal="center"/>
    </xf>
    <xf numFmtId="10" fontId="8" fillId="6" borderId="1" xfId="0" applyNumberFormat="1" applyFont="1" applyFill="1" applyBorder="1" applyAlignment="1">
      <alignment horizontal="center"/>
    </xf>
    <xf numFmtId="0" fontId="5" fillId="6" borderId="1" xfId="0" applyFont="1" applyFill="1" applyBorder="1"/>
    <xf numFmtId="0" fontId="2" fillId="0" borderId="1" xfId="0" applyFont="1" applyBorder="1"/>
    <xf numFmtId="0" fontId="9" fillId="4" borderId="0" xfId="0" applyFont="1" applyFill="1"/>
    <xf numFmtId="0" fontId="10" fillId="4" borderId="0" xfId="0" applyFont="1" applyFill="1"/>
    <xf numFmtId="0" fontId="10" fillId="4" borderId="1" xfId="0" applyFont="1" applyFill="1" applyBorder="1"/>
    <xf numFmtId="14" fontId="10" fillId="0" borderId="0" xfId="0" applyNumberFormat="1" applyFont="1" applyAlignment="1">
      <alignment horizontal="center"/>
    </xf>
    <xf numFmtId="0" fontId="4" fillId="6" borderId="0" xfId="0" applyFont="1" applyFill="1" applyBorder="1"/>
    <xf numFmtId="167" fontId="4" fillId="6" borderId="0" xfId="0" applyNumberFormat="1" applyFont="1" applyFill="1" applyBorder="1"/>
    <xf numFmtId="0" fontId="4" fillId="5" borderId="0" xfId="0" applyFont="1" applyFill="1"/>
    <xf numFmtId="17" fontId="4" fillId="5" borderId="0" xfId="0" applyNumberFormat="1" applyFont="1" applyFill="1" applyAlignment="1">
      <alignment horizontal="center" wrapText="1"/>
    </xf>
    <xf numFmtId="0" fontId="4" fillId="2" borderId="0" xfId="0" applyFont="1" applyFill="1" applyAlignment="1">
      <alignment horizontal="left" indent="1"/>
    </xf>
    <xf numFmtId="17" fontId="4" fillId="5" borderId="0" xfId="0" applyNumberFormat="1" applyFont="1" applyFill="1" applyAlignment="1">
      <alignment horizontal="left"/>
    </xf>
    <xf numFmtId="0" fontId="4" fillId="7" borderId="0" xfId="0" applyFont="1" applyFill="1"/>
    <xf numFmtId="17" fontId="4" fillId="8" borderId="0" xfId="0" applyNumberFormat="1" applyFont="1" applyFill="1" applyAlignment="1">
      <alignment horizontal="left" wrapText="1"/>
    </xf>
    <xf numFmtId="17" fontId="4" fillId="8" borderId="0" xfId="0" applyNumberFormat="1" applyFont="1" applyFill="1" applyAlignment="1">
      <alignment horizontal="center" wrapText="1"/>
    </xf>
    <xf numFmtId="0" fontId="4" fillId="8" borderId="0" xfId="0" applyFont="1" applyFill="1"/>
    <xf numFmtId="0" fontId="4" fillId="8" borderId="0" xfId="0" applyFont="1" applyFill="1" applyAlignment="1">
      <alignment horizontal="center" wrapText="1"/>
    </xf>
    <xf numFmtId="0" fontId="4" fillId="8" borderId="0" xfId="0" applyFont="1" applyFill="1" applyAlignment="1">
      <alignment horizontal="center"/>
    </xf>
    <xf numFmtId="0" fontId="4" fillId="6" borderId="1" xfId="0" applyFont="1" applyFill="1" applyBorder="1" applyAlignment="1">
      <alignment horizontal="left"/>
    </xf>
    <xf numFmtId="14" fontId="10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0" fontId="2" fillId="0" borderId="2" xfId="0" applyFont="1" applyBorder="1"/>
    <xf numFmtId="165" fontId="2" fillId="0" borderId="0" xfId="0" applyNumberFormat="1" applyFont="1"/>
    <xf numFmtId="165" fontId="3" fillId="0" borderId="0" xfId="0" applyNumberFormat="1" applyFont="1"/>
    <xf numFmtId="164" fontId="2" fillId="0" borderId="0" xfId="0" applyNumberFormat="1" applyFont="1" applyFill="1"/>
    <xf numFmtId="0" fontId="10" fillId="0" borderId="0" xfId="0" applyFont="1" applyAlignment="1">
      <alignment horizontal="center"/>
    </xf>
    <xf numFmtId="14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167" fontId="10" fillId="0" borderId="0" xfId="1" applyNumberFormat="1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4" fillId="2" borderId="0" xfId="0" applyFont="1" applyFill="1" applyAlignment="1">
      <alignment horizontal="right"/>
    </xf>
    <xf numFmtId="0" fontId="4" fillId="2" borderId="0" xfId="0" applyFont="1" applyFill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8" fillId="2" borderId="0" xfId="0" applyFont="1" applyFill="1" applyAlignment="1">
      <alignment horizontal="left" indent="1"/>
    </xf>
    <xf numFmtId="168" fontId="4" fillId="3" borderId="0" xfId="1" applyNumberFormat="1" applyFont="1" applyFill="1" applyAlignment="1">
      <alignment horizontal="left" indent="1"/>
    </xf>
    <xf numFmtId="0" fontId="2" fillId="0" borderId="0" xfId="0" applyFont="1" applyBorder="1"/>
    <xf numFmtId="0" fontId="2" fillId="6" borderId="0" xfId="0" applyFont="1" applyFill="1"/>
    <xf numFmtId="169" fontId="10" fillId="0" borderId="0" xfId="0" applyNumberFormat="1" applyFont="1"/>
    <xf numFmtId="0" fontId="14" fillId="9" borderId="0" xfId="5" applyFont="1" applyFill="1"/>
    <xf numFmtId="0" fontId="14" fillId="0" borderId="0" xfId="5" applyFont="1" applyFill="1" applyBorder="1"/>
    <xf numFmtId="0" fontId="15" fillId="0" borderId="0" xfId="5" applyFont="1" applyFill="1" applyBorder="1" applyProtection="1">
      <protection locked="0"/>
    </xf>
    <xf numFmtId="0" fontId="16" fillId="0" borderId="0" xfId="5" applyFont="1" applyFill="1" applyBorder="1" applyAlignment="1">
      <alignment horizontal="right"/>
    </xf>
    <xf numFmtId="0" fontId="14" fillId="0" borderId="0" xfId="5" applyFont="1" applyFill="1" applyBorder="1" applyProtection="1">
      <protection locked="0"/>
    </xf>
    <xf numFmtId="17" fontId="4" fillId="6" borderId="0" xfId="0" applyNumberFormat="1" applyFont="1" applyFill="1" applyAlignment="1">
      <alignment horizontal="left"/>
    </xf>
    <xf numFmtId="17" fontId="4" fillId="6" borderId="0" xfId="0" applyNumberFormat="1" applyFont="1" applyFill="1" applyAlignment="1">
      <alignment horizontal="center" wrapText="1"/>
    </xf>
    <xf numFmtId="0" fontId="10" fillId="4" borderId="0" xfId="0" applyFont="1" applyFill="1" applyAlignment="1">
      <alignment horizontal="center"/>
    </xf>
    <xf numFmtId="0" fontId="4" fillId="6" borderId="1" xfId="0" applyFont="1" applyFill="1" applyBorder="1" applyAlignment="1">
      <alignment horizontal="right"/>
    </xf>
    <xf numFmtId="168" fontId="10" fillId="0" borderId="0" xfId="1" applyNumberFormat="1" applyFont="1"/>
    <xf numFmtId="168" fontId="2" fillId="0" borderId="0" xfId="1" applyNumberFormat="1" applyFont="1"/>
    <xf numFmtId="168" fontId="6" fillId="0" borderId="0" xfId="1" applyNumberFormat="1" applyFont="1"/>
    <xf numFmtId="168" fontId="2" fillId="0" borderId="0" xfId="1" applyNumberFormat="1" applyFont="1" applyAlignment="1">
      <alignment horizontal="left" indent="1"/>
    </xf>
    <xf numFmtId="168" fontId="3" fillId="0" borderId="0" xfId="1" applyNumberFormat="1" applyFont="1" applyBorder="1"/>
    <xf numFmtId="168" fontId="9" fillId="0" borderId="0" xfId="1" applyNumberFormat="1" applyFont="1" applyBorder="1"/>
    <xf numFmtId="168" fontId="13" fillId="0" borderId="0" xfId="1" applyNumberFormat="1" applyFont="1" applyBorder="1"/>
    <xf numFmtId="168" fontId="6" fillId="0" borderId="0" xfId="1" applyNumberFormat="1" applyFont="1" applyFill="1"/>
    <xf numFmtId="168" fontId="13" fillId="0" borderId="0" xfId="1" applyNumberFormat="1" applyFont="1" applyFill="1" applyBorder="1"/>
    <xf numFmtId="0" fontId="6" fillId="0" borderId="0" xfId="0" applyFont="1"/>
    <xf numFmtId="0" fontId="6" fillId="0" borderId="0" xfId="0" applyFont="1" applyFill="1"/>
    <xf numFmtId="17" fontId="4" fillId="7" borderId="0" xfId="0" applyNumberFormat="1" applyFont="1" applyFill="1" applyAlignment="1">
      <alignment horizontal="center" wrapText="1"/>
    </xf>
    <xf numFmtId="0" fontId="4" fillId="5" borderId="0" xfId="0" applyFont="1" applyFill="1" applyAlignment="1">
      <alignment horizontal="centerContinuous"/>
    </xf>
    <xf numFmtId="0" fontId="4" fillId="8" borderId="0" xfId="0" applyNumberFormat="1" applyFont="1" applyFill="1" applyAlignment="1">
      <alignment horizontal="center" wrapText="1"/>
    </xf>
    <xf numFmtId="0" fontId="4" fillId="5" borderId="0" xfId="0" applyNumberFormat="1" applyFont="1" applyFill="1" applyAlignment="1">
      <alignment horizontal="center" wrapText="1"/>
    </xf>
    <xf numFmtId="0" fontId="4" fillId="7" borderId="0" xfId="0" applyNumberFormat="1" applyFont="1" applyFill="1" applyAlignment="1">
      <alignment horizontal="center" wrapText="1"/>
    </xf>
    <xf numFmtId="0" fontId="4" fillId="6" borderId="0" xfId="0" applyNumberFormat="1" applyFont="1" applyFill="1" applyAlignment="1">
      <alignment horizontal="center" wrapText="1"/>
    </xf>
    <xf numFmtId="164" fontId="10" fillId="0" borderId="0" xfId="0" applyNumberFormat="1" applyFont="1" applyFill="1"/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5" fillId="0" borderId="0" xfId="0" applyFont="1" applyFill="1"/>
    <xf numFmtId="0" fontId="4" fillId="6" borderId="0" xfId="0" applyNumberFormat="1" applyFont="1" applyFill="1" applyAlignment="1">
      <alignment horizontal="right" wrapText="1"/>
    </xf>
    <xf numFmtId="164" fontId="6" fillId="0" borderId="0" xfId="1" applyNumberFormat="1" applyFont="1" applyFill="1"/>
    <xf numFmtId="164" fontId="13" fillId="0" borderId="0" xfId="1" applyNumberFormat="1" applyFont="1" applyFill="1" applyBorder="1"/>
    <xf numFmtId="169" fontId="6" fillId="0" borderId="0" xfId="0" applyNumberFormat="1" applyFont="1"/>
    <xf numFmtId="170" fontId="11" fillId="0" borderId="0" xfId="0" applyNumberFormat="1" applyFont="1"/>
    <xf numFmtId="0" fontId="4" fillId="6" borderId="0" xfId="0" applyFont="1" applyFill="1" applyAlignment="1">
      <alignment horizontal="right"/>
    </xf>
    <xf numFmtId="0" fontId="4" fillId="6" borderId="0" xfId="0" applyFont="1" applyFill="1" applyAlignment="1">
      <alignment horizontal="left" indent="1"/>
    </xf>
    <xf numFmtId="0" fontId="10" fillId="4" borderId="2" xfId="0" applyFont="1" applyFill="1" applyBorder="1"/>
    <xf numFmtId="9" fontId="10" fillId="4" borderId="0" xfId="0" applyNumberFormat="1" applyFont="1" applyFill="1"/>
    <xf numFmtId="10" fontId="2" fillId="0" borderId="0" xfId="0" applyNumberFormat="1" applyFont="1"/>
    <xf numFmtId="2" fontId="2" fillId="0" borderId="0" xfId="0" applyNumberFormat="1" applyFont="1"/>
    <xf numFmtId="2" fontId="6" fillId="0" borderId="0" xfId="0" applyNumberFormat="1" applyFont="1" applyFill="1"/>
    <xf numFmtId="2" fontId="2" fillId="0" borderId="0" xfId="1" applyNumberFormat="1" applyFont="1"/>
    <xf numFmtId="165" fontId="3" fillId="0" borderId="6" xfId="0" applyNumberFormat="1" applyFont="1" applyBorder="1"/>
    <xf numFmtId="165" fontId="3" fillId="0" borderId="6" xfId="0" applyNumberFormat="1" applyFont="1" applyBorder="1" applyAlignment="1">
      <alignment horizontal="center"/>
    </xf>
    <xf numFmtId="0" fontId="14" fillId="9" borderId="0" xfId="7" applyFont="1" applyFill="1"/>
    <xf numFmtId="0" fontId="14" fillId="0" borderId="0" xfId="7" applyFont="1" applyFill="1" applyBorder="1"/>
    <xf numFmtId="0" fontId="14" fillId="10" borderId="0" xfId="7" applyFont="1" applyFill="1"/>
    <xf numFmtId="0" fontId="10" fillId="11" borderId="0" xfId="0" applyFont="1" applyFill="1"/>
    <xf numFmtId="0" fontId="20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10" fillId="0" borderId="0" xfId="0" applyNumberFormat="1" applyFont="1"/>
    <xf numFmtId="0" fontId="2" fillId="0" borderId="0" xfId="0" applyFont="1" applyAlignment="1">
      <alignment wrapText="1"/>
    </xf>
    <xf numFmtId="173" fontId="10" fillId="0" borderId="0" xfId="9" applyNumberFormat="1" applyFont="1"/>
    <xf numFmtId="9" fontId="10" fillId="0" borderId="0" xfId="3" applyFont="1"/>
    <xf numFmtId="2" fontId="10" fillId="0" borderId="0" xfId="3" applyNumberFormat="1" applyFont="1"/>
    <xf numFmtId="1" fontId="10" fillId="0" borderId="0" xfId="3" applyNumberFormat="1" applyFont="1"/>
    <xf numFmtId="0" fontId="3" fillId="0" borderId="7" xfId="0" applyFont="1" applyBorder="1"/>
    <xf numFmtId="173" fontId="2" fillId="0" borderId="0" xfId="9" applyNumberFormat="1" applyFont="1"/>
    <xf numFmtId="9" fontId="2" fillId="0" borderId="0" xfId="0" applyNumberFormat="1" applyFont="1"/>
    <xf numFmtId="171" fontId="2" fillId="0" borderId="0" xfId="0" applyNumberFormat="1" applyFont="1"/>
    <xf numFmtId="1" fontId="2" fillId="0" borderId="0" xfId="0" applyNumberFormat="1" applyFont="1"/>
    <xf numFmtId="0" fontId="21" fillId="4" borderId="0" xfId="0" applyFont="1" applyFill="1"/>
    <xf numFmtId="173" fontId="2" fillId="0" borderId="0" xfId="0" applyNumberFormat="1" applyFont="1"/>
    <xf numFmtId="173" fontId="3" fillId="0" borderId="7" xfId="9" applyNumberFormat="1" applyFont="1" applyBorder="1"/>
    <xf numFmtId="173" fontId="3" fillId="0" borderId="0" xfId="0" applyNumberFormat="1" applyFont="1"/>
    <xf numFmtId="9" fontId="2" fillId="0" borderId="2" xfId="0" applyNumberFormat="1" applyFont="1" applyBorder="1"/>
    <xf numFmtId="173" fontId="3" fillId="0" borderId="2" xfId="0" applyNumberFormat="1" applyFont="1" applyBorder="1"/>
    <xf numFmtId="173" fontId="10" fillId="4" borderId="0" xfId="9" applyNumberFormat="1" applyFont="1" applyFill="1"/>
    <xf numFmtId="9" fontId="10" fillId="4" borderId="0" xfId="3" applyFont="1" applyFill="1"/>
    <xf numFmtId="0" fontId="10" fillId="4" borderId="1" xfId="0" applyFont="1" applyFill="1" applyBorder="1" applyAlignment="1">
      <alignment horizontal="center"/>
    </xf>
    <xf numFmtId="0" fontId="2" fillId="0" borderId="0" xfId="0" applyFont="1" applyAlignment="1"/>
    <xf numFmtId="1" fontId="10" fillId="4" borderId="0" xfId="9" applyNumberFormat="1" applyFont="1" applyFill="1"/>
    <xf numFmtId="0" fontId="3" fillId="0" borderId="0" xfId="0" applyFont="1" applyBorder="1"/>
    <xf numFmtId="173" fontId="3" fillId="0" borderId="0" xfId="9" applyNumberFormat="1" applyFont="1" applyBorder="1"/>
    <xf numFmtId="17" fontId="4" fillId="2" borderId="0" xfId="0" applyNumberFormat="1" applyFont="1" applyFill="1" applyAlignment="1">
      <alignment horizontal="center" wrapText="1"/>
    </xf>
    <xf numFmtId="9" fontId="2" fillId="0" borderId="0" xfId="3" applyFont="1"/>
    <xf numFmtId="0" fontId="4" fillId="10" borderId="0" xfId="0" applyFont="1" applyFill="1" applyAlignment="1">
      <alignment horizontal="left" indent="1"/>
    </xf>
    <xf numFmtId="0" fontId="5" fillId="10" borderId="0" xfId="0" applyFont="1" applyFill="1"/>
    <xf numFmtId="0" fontId="2" fillId="0" borderId="0" xfId="0" applyFont="1" applyAlignment="1">
      <alignment horizontal="left" wrapText="1"/>
    </xf>
    <xf numFmtId="1" fontId="10" fillId="0" borderId="0" xfId="9" applyNumberFormat="1" applyFont="1"/>
    <xf numFmtId="174" fontId="6" fillId="0" borderId="0" xfId="0" applyNumberFormat="1" applyFont="1" applyFill="1"/>
    <xf numFmtId="174" fontId="6" fillId="0" borderId="2" xfId="0" applyNumberFormat="1" applyFont="1" applyFill="1" applyBorder="1"/>
    <xf numFmtId="174" fontId="3" fillId="0" borderId="0" xfId="0" applyNumberFormat="1" applyFont="1"/>
    <xf numFmtId="174" fontId="2" fillId="0" borderId="0" xfId="0" applyNumberFormat="1" applyFont="1"/>
    <xf numFmtId="174" fontId="6" fillId="0" borderId="0" xfId="0" applyNumberFormat="1" applyFont="1" applyFill="1" applyBorder="1"/>
    <xf numFmtId="174" fontId="2" fillId="0" borderId="0" xfId="0" applyNumberFormat="1" applyFont="1" applyBorder="1"/>
    <xf numFmtId="174" fontId="2" fillId="0" borderId="2" xfId="0" applyNumberFormat="1" applyFont="1" applyBorder="1"/>
    <xf numFmtId="174" fontId="2" fillId="0" borderId="3" xfId="0" applyNumberFormat="1" applyFont="1" applyBorder="1"/>
    <xf numFmtId="174" fontId="3" fillId="0" borderId="4" xfId="0" applyNumberFormat="1" applyFont="1" applyBorder="1"/>
    <xf numFmtId="174" fontId="2" fillId="0" borderId="0" xfId="0" applyNumberFormat="1" applyFont="1" applyFill="1"/>
    <xf numFmtId="174" fontId="2" fillId="0" borderId="2" xfId="0" applyNumberFormat="1" applyFont="1" applyFill="1" applyBorder="1"/>
    <xf numFmtId="174" fontId="2" fillId="4" borderId="0" xfId="0" applyNumberFormat="1" applyFont="1" applyFill="1"/>
    <xf numFmtId="174" fontId="2" fillId="4" borderId="2" xfId="0" applyNumberFormat="1" applyFont="1" applyFill="1" applyBorder="1"/>
    <xf numFmtId="0" fontId="3" fillId="10" borderId="0" xfId="0" applyFont="1" applyFill="1"/>
    <xf numFmtId="0" fontId="2" fillId="10" borderId="0" xfId="0" applyFont="1" applyFill="1"/>
    <xf numFmtId="1" fontId="10" fillId="10" borderId="0" xfId="0" applyNumberFormat="1" applyFont="1" applyFill="1"/>
    <xf numFmtId="9" fontId="10" fillId="10" borderId="0" xfId="3" applyFont="1" applyFill="1"/>
    <xf numFmtId="17" fontId="4" fillId="10" borderId="0" xfId="0" applyNumberFormat="1" applyFont="1" applyFill="1" applyAlignment="1">
      <alignment horizontal="left"/>
    </xf>
    <xf numFmtId="173" fontId="10" fillId="10" borderId="0" xfId="9" applyNumberFormat="1" applyFont="1" applyFill="1"/>
    <xf numFmtId="1" fontId="10" fillId="10" borderId="0" xfId="3" applyNumberFormat="1" applyFont="1" applyFill="1"/>
    <xf numFmtId="173" fontId="2" fillId="10" borderId="0" xfId="0" applyNumberFormat="1" applyFont="1" applyFill="1"/>
    <xf numFmtId="173" fontId="6" fillId="10" borderId="0" xfId="9" applyNumberFormat="1" applyFont="1" applyFill="1"/>
    <xf numFmtId="0" fontId="6" fillId="10" borderId="0" xfId="0" applyFont="1" applyFill="1"/>
    <xf numFmtId="0" fontId="13" fillId="10" borderId="0" xfId="0" applyFont="1" applyFill="1"/>
    <xf numFmtId="9" fontId="6" fillId="10" borderId="0" xfId="3" applyFont="1" applyFill="1"/>
    <xf numFmtId="1" fontId="6" fillId="10" borderId="0" xfId="9" applyNumberFormat="1" applyFont="1" applyFill="1"/>
    <xf numFmtId="1" fontId="6" fillId="10" borderId="0" xfId="0" applyNumberFormat="1" applyFont="1" applyFill="1"/>
    <xf numFmtId="1" fontId="13" fillId="10" borderId="0" xfId="9" applyNumberFormat="1" applyFont="1" applyFill="1"/>
    <xf numFmtId="173" fontId="9" fillId="10" borderId="0" xfId="9" applyNumberFormat="1" applyFont="1" applyFill="1"/>
    <xf numFmtId="1" fontId="9" fillId="10" borderId="0" xfId="3" applyNumberFormat="1" applyFont="1" applyFill="1"/>
    <xf numFmtId="9" fontId="9" fillId="10" borderId="0" xfId="3" applyFont="1" applyFill="1"/>
    <xf numFmtId="1" fontId="2" fillId="10" borderId="0" xfId="0" applyNumberFormat="1" applyFont="1" applyFill="1"/>
    <xf numFmtId="1" fontId="9" fillId="10" borderId="0" xfId="9" applyNumberFormat="1" applyFont="1" applyFill="1"/>
    <xf numFmtId="173" fontId="13" fillId="10" borderId="0" xfId="9" applyNumberFormat="1" applyFont="1" applyFill="1"/>
    <xf numFmtId="1" fontId="3" fillId="0" borderId="0" xfId="0" applyNumberFormat="1" applyFont="1"/>
    <xf numFmtId="169" fontId="10" fillId="0" borderId="0" xfId="3" applyNumberFormat="1" applyFont="1"/>
    <xf numFmtId="1" fontId="10" fillId="10" borderId="0" xfId="9" applyNumberFormat="1" applyFont="1" applyFill="1"/>
    <xf numFmtId="175" fontId="2" fillId="0" borderId="0" xfId="0" applyNumberFormat="1" applyFont="1"/>
    <xf numFmtId="0" fontId="3" fillId="10" borderId="0" xfId="0" applyFont="1" applyFill="1" applyAlignment="1"/>
    <xf numFmtId="176" fontId="10" fillId="10" borderId="0" xfId="9" applyNumberFormat="1" applyFont="1" applyFill="1"/>
    <xf numFmtId="0" fontId="2" fillId="10" borderId="0" xfId="0" applyFont="1" applyFill="1" applyAlignment="1">
      <alignment horizontal="center"/>
    </xf>
    <xf numFmtId="173" fontId="3" fillId="10" borderId="0" xfId="9" applyNumberFormat="1" applyFont="1" applyFill="1"/>
    <xf numFmtId="173" fontId="2" fillId="10" borderId="0" xfId="9" applyNumberFormat="1" applyFont="1" applyFill="1"/>
    <xf numFmtId="173" fontId="2" fillId="10" borderId="0" xfId="9" applyNumberFormat="1" applyFont="1" applyFill="1" applyAlignment="1">
      <alignment wrapText="1"/>
    </xf>
    <xf numFmtId="173" fontId="6" fillId="10" borderId="0" xfId="9" applyNumberFormat="1" applyFont="1" applyFill="1" applyAlignment="1">
      <alignment horizontal="left"/>
    </xf>
    <xf numFmtId="173" fontId="2" fillId="10" borderId="0" xfId="9" applyNumberFormat="1" applyFont="1" applyFill="1" applyAlignment="1"/>
    <xf numFmtId="173" fontId="10" fillId="10" borderId="0" xfId="0" applyNumberFormat="1" applyFont="1" applyFill="1"/>
    <xf numFmtId="1" fontId="2" fillId="10" borderId="0" xfId="0" applyNumberFormat="1" applyFont="1" applyFill="1" applyAlignment="1">
      <alignment horizontal="center"/>
    </xf>
    <xf numFmtId="1" fontId="6" fillId="10" borderId="0" xfId="0" applyNumberFormat="1" applyFont="1" applyFill="1" applyAlignment="1">
      <alignment horizontal="center"/>
    </xf>
    <xf numFmtId="1" fontId="6" fillId="10" borderId="0" xfId="3" applyNumberFormat="1" applyFont="1" applyFill="1" applyAlignment="1">
      <alignment horizontal="center"/>
    </xf>
    <xf numFmtId="1" fontId="13" fillId="10" borderId="0" xfId="0" applyNumberFormat="1" applyFont="1" applyFill="1" applyAlignment="1">
      <alignment horizontal="center"/>
    </xf>
    <xf numFmtId="173" fontId="9" fillId="10" borderId="0" xfId="0" applyNumberFormat="1" applyFont="1" applyFill="1"/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173" fontId="3" fillId="0" borderId="7" xfId="0" applyNumberFormat="1" applyFont="1" applyBorder="1"/>
    <xf numFmtId="169" fontId="10" fillId="10" borderId="0" xfId="3" applyNumberFormat="1" applyFont="1" applyFill="1"/>
    <xf numFmtId="9" fontId="10" fillId="10" borderId="0" xfId="3" applyNumberFormat="1" applyFont="1" applyFill="1"/>
    <xf numFmtId="177" fontId="2" fillId="10" borderId="0" xfId="0" applyNumberFormat="1" applyFont="1" applyFill="1"/>
    <xf numFmtId="169" fontId="2" fillId="0" borderId="0" xfId="3" applyNumberFormat="1" applyFont="1"/>
    <xf numFmtId="0" fontId="2" fillId="0" borderId="5" xfId="0" applyFont="1" applyBorder="1"/>
    <xf numFmtId="0" fontId="3" fillId="0" borderId="5" xfId="0" applyFont="1" applyBorder="1"/>
    <xf numFmtId="174" fontId="3" fillId="0" borderId="5" xfId="0" applyNumberFormat="1" applyFont="1" applyBorder="1"/>
    <xf numFmtId="1" fontId="3" fillId="0" borderId="5" xfId="0" applyNumberFormat="1" applyFont="1" applyBorder="1"/>
    <xf numFmtId="0" fontId="4" fillId="12" borderId="0" xfId="0" applyFont="1" applyFill="1"/>
    <xf numFmtId="17" fontId="4" fillId="12" borderId="0" xfId="0" applyNumberFormat="1" applyFont="1" applyFill="1" applyAlignment="1">
      <alignment horizontal="center" wrapText="1"/>
    </xf>
    <xf numFmtId="0" fontId="4" fillId="13" borderId="0" xfId="0" applyFont="1" applyFill="1"/>
    <xf numFmtId="17" fontId="4" fillId="13" borderId="0" xfId="0" applyNumberFormat="1" applyFont="1" applyFill="1" applyAlignment="1">
      <alignment horizontal="center" wrapText="1"/>
    </xf>
    <xf numFmtId="0" fontId="4" fillId="14" borderId="0" xfId="0" applyFont="1" applyFill="1"/>
    <xf numFmtId="17" fontId="4" fillId="14" borderId="0" xfId="0" applyNumberFormat="1" applyFont="1" applyFill="1" applyAlignment="1">
      <alignment horizontal="center" wrapText="1"/>
    </xf>
    <xf numFmtId="0" fontId="4" fillId="15" borderId="0" xfId="0" applyFont="1" applyFill="1"/>
    <xf numFmtId="17" fontId="4" fillId="15" borderId="0" xfId="0" applyNumberFormat="1" applyFont="1" applyFill="1" applyAlignment="1">
      <alignment horizontal="center" wrapText="1"/>
    </xf>
    <xf numFmtId="0" fontId="4" fillId="10" borderId="0" xfId="0" applyFont="1" applyFill="1"/>
    <xf numFmtId="17" fontId="4" fillId="10" borderId="0" xfId="0" applyNumberFormat="1" applyFont="1" applyFill="1" applyAlignment="1">
      <alignment horizontal="center" wrapText="1"/>
    </xf>
    <xf numFmtId="0" fontId="20" fillId="0" borderId="0" xfId="0" applyFont="1"/>
    <xf numFmtId="17" fontId="13" fillId="10" borderId="0" xfId="0" applyNumberFormat="1" applyFont="1" applyFill="1" applyAlignment="1">
      <alignment horizontal="center" wrapText="1"/>
    </xf>
    <xf numFmtId="1" fontId="6" fillId="10" borderId="0" xfId="0" applyNumberFormat="1" applyFont="1" applyFill="1" applyAlignment="1">
      <alignment horizontal="center" wrapText="1"/>
    </xf>
    <xf numFmtId="0" fontId="4" fillId="13" borderId="0" xfId="0" applyFont="1" applyFill="1" applyAlignment="1">
      <alignment horizontal="left"/>
    </xf>
    <xf numFmtId="0" fontId="4" fillId="14" borderId="0" xfId="0" applyFont="1" applyFill="1" applyAlignment="1">
      <alignment horizontal="left"/>
    </xf>
    <xf numFmtId="0" fontId="4" fillId="15" borderId="0" xfId="0" applyFont="1" applyFill="1" applyAlignment="1">
      <alignment horizontal="left"/>
    </xf>
    <xf numFmtId="0" fontId="4" fillId="12" borderId="0" xfId="0" applyFont="1" applyFill="1" applyAlignment="1">
      <alignment horizontal="left"/>
    </xf>
    <xf numFmtId="0" fontId="4" fillId="6" borderId="0" xfId="0" applyFont="1" applyFill="1" applyAlignment="1">
      <alignment horizontal="left"/>
    </xf>
    <xf numFmtId="0" fontId="3" fillId="10" borderId="5" xfId="0" applyFont="1" applyFill="1" applyBorder="1"/>
    <xf numFmtId="1" fontId="10" fillId="10" borderId="5" xfId="9" applyNumberFormat="1" applyFont="1" applyFill="1" applyBorder="1"/>
    <xf numFmtId="0" fontId="3" fillId="10" borderId="0" xfId="0" applyFont="1" applyFill="1" applyBorder="1"/>
    <xf numFmtId="0" fontId="2" fillId="10" borderId="0" xfId="0" applyFont="1" applyFill="1" applyBorder="1"/>
    <xf numFmtId="0" fontId="2" fillId="7" borderId="0" xfId="0" applyFont="1" applyFill="1"/>
    <xf numFmtId="173" fontId="10" fillId="10" borderId="5" xfId="9" applyNumberFormat="1" applyFont="1" applyFill="1" applyBorder="1"/>
    <xf numFmtId="173" fontId="3" fillId="0" borderId="0" xfId="9" applyNumberFormat="1" applyFont="1"/>
    <xf numFmtId="173" fontId="2" fillId="0" borderId="2" xfId="9" applyNumberFormat="1" applyFont="1" applyBorder="1"/>
    <xf numFmtId="0" fontId="10" fillId="10" borderId="0" xfId="0" applyFont="1" applyFill="1"/>
    <xf numFmtId="173" fontId="10" fillId="10" borderId="5" xfId="0" applyNumberFormat="1" applyFont="1" applyFill="1" applyBorder="1"/>
    <xf numFmtId="0" fontId="9" fillId="10" borderId="5" xfId="0" applyFont="1" applyFill="1" applyBorder="1"/>
    <xf numFmtId="173" fontId="3" fillId="0" borderId="0" xfId="0" applyNumberFormat="1" applyFont="1" applyBorder="1"/>
    <xf numFmtId="174" fontId="10" fillId="10" borderId="0" xfId="9" applyNumberFormat="1" applyFont="1" applyFill="1"/>
    <xf numFmtId="174" fontId="6" fillId="10" borderId="0" xfId="0" applyNumberFormat="1" applyFont="1" applyFill="1"/>
    <xf numFmtId="0" fontId="10" fillId="0" borderId="0" xfId="0" applyFont="1"/>
    <xf numFmtId="10" fontId="6" fillId="10" borderId="0" xfId="3" applyNumberFormat="1" applyFont="1" applyFill="1"/>
    <xf numFmtId="178" fontId="6" fillId="10" borderId="0" xfId="3" applyNumberFormat="1" applyFont="1" applyFill="1"/>
    <xf numFmtId="179" fontId="6" fillId="10" borderId="0" xfId="3" applyNumberFormat="1" applyFont="1" applyFill="1"/>
    <xf numFmtId="1" fontId="6" fillId="10" borderId="0" xfId="0" applyNumberFormat="1" applyFont="1" applyFill="1" applyAlignment="1">
      <alignment horizontal="right" wrapText="1"/>
    </xf>
    <xf numFmtId="1" fontId="6" fillId="10" borderId="0" xfId="9" applyNumberFormat="1" applyFont="1" applyFill="1" applyAlignment="1">
      <alignment horizontal="right"/>
    </xf>
    <xf numFmtId="17" fontId="2" fillId="0" borderId="0" xfId="0" applyNumberFormat="1" applyFont="1"/>
    <xf numFmtId="174" fontId="13" fillId="0" borderId="0" xfId="0" applyNumberFormat="1" applyFont="1" applyFill="1"/>
    <xf numFmtId="174" fontId="6" fillId="0" borderId="3" xfId="0" applyNumberFormat="1" applyFont="1" applyFill="1" applyBorder="1"/>
    <xf numFmtId="174" fontId="3" fillId="0" borderId="4" xfId="0" applyNumberFormat="1" applyFont="1" applyFill="1" applyBorder="1"/>
    <xf numFmtId="174" fontId="10" fillId="4" borderId="2" xfId="0" applyNumberFormat="1" applyFont="1" applyFill="1" applyBorder="1"/>
    <xf numFmtId="0" fontId="3" fillId="16" borderId="0" xfId="0" applyFont="1" applyFill="1"/>
    <xf numFmtId="0" fontId="2" fillId="16" borderId="0" xfId="0" applyFont="1" applyFill="1"/>
    <xf numFmtId="0" fontId="2" fillId="16" borderId="2" xfId="0" applyFont="1" applyFill="1" applyBorder="1"/>
    <xf numFmtId="0" fontId="2" fillId="16" borderId="0" xfId="0" applyFont="1" applyFill="1" applyAlignment="1">
      <alignment horizontal="left" indent="1"/>
    </xf>
    <xf numFmtId="0" fontId="2" fillId="16" borderId="0" xfId="0" applyFont="1" applyFill="1" applyBorder="1" applyAlignment="1">
      <alignment horizontal="left" indent="1"/>
    </xf>
    <xf numFmtId="0" fontId="2" fillId="16" borderId="0" xfId="0" applyFont="1" applyFill="1" applyBorder="1"/>
    <xf numFmtId="0" fontId="2" fillId="16" borderId="2" xfId="0" applyFont="1" applyFill="1" applyBorder="1" applyAlignment="1">
      <alignment horizontal="left" indent="1"/>
    </xf>
    <xf numFmtId="0" fontId="2" fillId="16" borderId="3" xfId="0" applyFont="1" applyFill="1" applyBorder="1"/>
    <xf numFmtId="169" fontId="12" fillId="16" borderId="2" xfId="0" applyNumberFormat="1" applyFont="1" applyFill="1" applyBorder="1"/>
    <xf numFmtId="0" fontId="3" fillId="16" borderId="4" xfId="0" applyFont="1" applyFill="1" applyBorder="1"/>
    <xf numFmtId="168" fontId="3" fillId="16" borderId="0" xfId="1" applyNumberFormat="1" applyFont="1" applyFill="1"/>
    <xf numFmtId="168" fontId="10" fillId="16" borderId="0" xfId="1" applyNumberFormat="1" applyFont="1" applyFill="1"/>
    <xf numFmtId="168" fontId="2" fillId="16" borderId="0" xfId="1" applyNumberFormat="1" applyFont="1" applyFill="1"/>
    <xf numFmtId="168" fontId="2" fillId="16" borderId="0" xfId="1" applyNumberFormat="1" applyFont="1" applyFill="1" applyAlignment="1">
      <alignment horizontal="left" indent="2"/>
    </xf>
    <xf numFmtId="168" fontId="2" fillId="16" borderId="2" xfId="1" applyNumberFormat="1" applyFont="1" applyFill="1" applyBorder="1" applyAlignment="1">
      <alignment horizontal="left" indent="2"/>
    </xf>
    <xf numFmtId="168" fontId="10" fillId="16" borderId="2" xfId="1" applyNumberFormat="1" applyFont="1" applyFill="1" applyBorder="1"/>
    <xf numFmtId="168" fontId="6" fillId="16" borderId="0" xfId="1" applyNumberFormat="1" applyFont="1" applyFill="1"/>
    <xf numFmtId="168" fontId="2" fillId="16" borderId="0" xfId="1" applyNumberFormat="1" applyFont="1" applyFill="1" applyAlignment="1">
      <alignment horizontal="left" indent="1"/>
    </xf>
    <xf numFmtId="168" fontId="3" fillId="16" borderId="4" xfId="1" applyNumberFormat="1" applyFont="1" applyFill="1" applyBorder="1"/>
    <xf numFmtId="168" fontId="13" fillId="16" borderId="4" xfId="1" applyNumberFormat="1" applyFont="1" applyFill="1" applyBorder="1"/>
    <xf numFmtId="168" fontId="3" fillId="16" borderId="5" xfId="1" applyNumberFormat="1" applyFont="1" applyFill="1" applyBorder="1"/>
    <xf numFmtId="168" fontId="13" fillId="16" borderId="5" xfId="1" applyNumberFormat="1" applyFont="1" applyFill="1" applyBorder="1"/>
    <xf numFmtId="168" fontId="3" fillId="16" borderId="3" xfId="1" applyNumberFormat="1" applyFont="1" applyFill="1" applyBorder="1"/>
    <xf numFmtId="168" fontId="13" fillId="16" borderId="3" xfId="1" applyNumberFormat="1" applyFont="1" applyFill="1" applyBorder="1"/>
    <xf numFmtId="168" fontId="11" fillId="16" borderId="0" xfId="1" applyNumberFormat="1" applyFont="1" applyFill="1"/>
    <xf numFmtId="170" fontId="11" fillId="16" borderId="0" xfId="1" applyNumberFormat="1" applyFont="1" applyFill="1"/>
    <xf numFmtId="0" fontId="6" fillId="16" borderId="0" xfId="0" applyFont="1" applyFill="1"/>
    <xf numFmtId="168" fontId="6" fillId="16" borderId="2" xfId="1" applyNumberFormat="1" applyFont="1" applyFill="1" applyBorder="1"/>
    <xf numFmtId="170" fontId="18" fillId="16" borderId="0" xfId="1" applyNumberFormat="1" applyFont="1" applyFill="1"/>
    <xf numFmtId="173" fontId="2" fillId="0" borderId="0" xfId="9" applyNumberFormat="1" applyFont="1" applyFill="1"/>
    <xf numFmtId="173" fontId="2" fillId="0" borderId="2" xfId="9" applyNumberFormat="1" applyFont="1" applyFill="1" applyBorder="1"/>
    <xf numFmtId="173" fontId="6" fillId="0" borderId="0" xfId="9" applyNumberFormat="1" applyFont="1" applyFill="1"/>
    <xf numFmtId="173" fontId="13" fillId="0" borderId="3" xfId="9" applyNumberFormat="1" applyFont="1" applyBorder="1"/>
    <xf numFmtId="173" fontId="13" fillId="0" borderId="4" xfId="9" applyNumberFormat="1" applyFont="1" applyBorder="1"/>
    <xf numFmtId="173" fontId="13" fillId="0" borderId="5" xfId="9" applyNumberFormat="1" applyFont="1" applyFill="1" applyBorder="1"/>
    <xf numFmtId="173" fontId="6" fillId="0" borderId="2" xfId="9" applyNumberFormat="1" applyFont="1" applyFill="1" applyBorder="1"/>
    <xf numFmtId="173" fontId="13" fillId="0" borderId="4" xfId="9" applyNumberFormat="1" applyFont="1" applyFill="1" applyBorder="1"/>
    <xf numFmtId="173" fontId="6" fillId="0" borderId="0" xfId="9" applyNumberFormat="1" applyFont="1"/>
    <xf numFmtId="9" fontId="10" fillId="16" borderId="2" xfId="3" applyFont="1" applyFill="1" applyBorder="1"/>
    <xf numFmtId="173" fontId="10" fillId="16" borderId="0" xfId="9" applyNumberFormat="1" applyFont="1" applyFill="1"/>
    <xf numFmtId="173" fontId="10" fillId="4" borderId="2" xfId="9" applyNumberFormat="1" applyFont="1" applyFill="1" applyBorder="1"/>
    <xf numFmtId="173" fontId="13" fillId="0" borderId="5" xfId="9" applyNumberFormat="1" applyFont="1" applyBorder="1"/>
    <xf numFmtId="173" fontId="11" fillId="0" borderId="0" xfId="9" applyNumberFormat="1" applyFont="1"/>
    <xf numFmtId="173" fontId="2" fillId="4" borderId="2" xfId="9" applyNumberFormat="1" applyFont="1" applyFill="1" applyBorder="1"/>
    <xf numFmtId="173" fontId="6" fillId="4" borderId="0" xfId="9" applyNumberFormat="1" applyFont="1" applyFill="1"/>
    <xf numFmtId="173" fontId="18" fillId="0" borderId="0" xfId="9" applyNumberFormat="1" applyFont="1"/>
    <xf numFmtId="9" fontId="10" fillId="0" borderId="0" xfId="0" applyNumberFormat="1" applyFont="1"/>
    <xf numFmtId="10" fontId="10" fillId="10" borderId="0" xfId="3" applyNumberFormat="1" applyFont="1" applyFill="1"/>
    <xf numFmtId="173" fontId="3" fillId="0" borderId="5" xfId="9" applyNumberFormat="1" applyFont="1" applyBorder="1"/>
    <xf numFmtId="0" fontId="2" fillId="10" borderId="0" xfId="0" applyFont="1" applyFill="1" applyAlignment="1">
      <alignment horizontal="right"/>
    </xf>
    <xf numFmtId="173" fontId="10" fillId="10" borderId="0" xfId="9" applyNumberFormat="1" applyFont="1" applyFill="1" applyBorder="1"/>
    <xf numFmtId="173" fontId="2" fillId="10" borderId="0" xfId="9" applyNumberFormat="1" applyFont="1" applyFill="1" applyAlignment="1">
      <alignment horizontal="right"/>
    </xf>
    <xf numFmtId="1" fontId="2" fillId="10" borderId="0" xfId="0" applyNumberFormat="1" applyFont="1" applyFill="1" applyAlignment="1">
      <alignment horizontal="right"/>
    </xf>
    <xf numFmtId="174" fontId="6" fillId="10" borderId="0" xfId="9" applyNumberFormat="1" applyFont="1" applyFill="1" applyAlignment="1">
      <alignment horizontal="right"/>
    </xf>
    <xf numFmtId="173" fontId="10" fillId="10" borderId="0" xfId="9" applyNumberFormat="1" applyFont="1" applyFill="1" applyAlignment="1">
      <alignment horizontal="right"/>
    </xf>
    <xf numFmtId="17" fontId="2" fillId="0" borderId="2" xfId="0" applyNumberFormat="1" applyFont="1" applyBorder="1"/>
    <xf numFmtId="173" fontId="6" fillId="10" borderId="0" xfId="9" applyNumberFormat="1" applyFont="1" applyFill="1" applyAlignment="1">
      <alignment horizontal="right"/>
    </xf>
    <xf numFmtId="44" fontId="10" fillId="10" borderId="0" xfId="9" applyFont="1" applyFill="1"/>
    <xf numFmtId="173" fontId="6" fillId="0" borderId="0" xfId="9" applyNumberFormat="1" applyFont="1" applyFill="1" applyAlignment="1">
      <alignment horizontal="center"/>
    </xf>
    <xf numFmtId="173" fontId="6" fillId="0" borderId="2" xfId="9" applyNumberFormat="1" applyFont="1" applyFill="1" applyBorder="1" applyAlignment="1">
      <alignment horizontal="center"/>
    </xf>
    <xf numFmtId="173" fontId="3" fillId="0" borderId="0" xfId="9" applyNumberFormat="1" applyFont="1" applyAlignment="1">
      <alignment horizontal="center"/>
    </xf>
    <xf numFmtId="173" fontId="3" fillId="0" borderId="1" xfId="9" applyNumberFormat="1" applyFont="1" applyBorder="1" applyAlignment="1">
      <alignment horizontal="center"/>
    </xf>
    <xf numFmtId="173" fontId="2" fillId="0" borderId="1" xfId="9" applyNumberFormat="1" applyFont="1" applyBorder="1"/>
    <xf numFmtId="173" fontId="3" fillId="0" borderId="1" xfId="9" applyNumberFormat="1" applyFont="1" applyBorder="1"/>
    <xf numFmtId="173" fontId="2" fillId="0" borderId="1" xfId="9" applyNumberFormat="1" applyFont="1" applyFill="1" applyBorder="1"/>
    <xf numFmtId="173" fontId="10" fillId="4" borderId="0" xfId="9" applyNumberFormat="1" applyFont="1" applyFill="1" applyAlignment="1">
      <alignment horizontal="center"/>
    </xf>
    <xf numFmtId="173" fontId="10" fillId="4" borderId="1" xfId="9" applyNumberFormat="1" applyFont="1" applyFill="1" applyBorder="1" applyAlignment="1">
      <alignment horizontal="center"/>
    </xf>
    <xf numFmtId="173" fontId="10" fillId="4" borderId="1" xfId="9" applyNumberFormat="1" applyFont="1" applyFill="1" applyBorder="1"/>
    <xf numFmtId="173" fontId="10" fillId="11" borderId="0" xfId="9" applyNumberFormat="1" applyFont="1" applyFill="1" applyAlignment="1">
      <alignment horizontal="center"/>
    </xf>
    <xf numFmtId="173" fontId="10" fillId="4" borderId="0" xfId="9" quotePrefix="1" applyNumberFormat="1" applyFont="1" applyFill="1"/>
    <xf numFmtId="173" fontId="9" fillId="4" borderId="0" xfId="9" applyNumberFormat="1" applyFont="1" applyFill="1" applyAlignment="1">
      <alignment horizontal="center"/>
    </xf>
    <xf numFmtId="9" fontId="5" fillId="6" borderId="1" xfId="3" applyFont="1" applyFill="1" applyBorder="1" applyAlignment="1">
      <alignment horizontal="center"/>
    </xf>
    <xf numFmtId="9" fontId="8" fillId="6" borderId="1" xfId="0" applyNumberFormat="1" applyFont="1" applyFill="1" applyBorder="1" applyAlignment="1">
      <alignment horizontal="center"/>
    </xf>
    <xf numFmtId="9" fontId="8" fillId="6" borderId="1" xfId="3" applyFont="1" applyFill="1" applyBorder="1" applyAlignment="1">
      <alignment horizontal="center"/>
    </xf>
    <xf numFmtId="173" fontId="10" fillId="0" borderId="0" xfId="9" applyNumberFormat="1" applyFont="1" applyBorder="1" applyAlignment="1">
      <alignment horizontal="center"/>
    </xf>
    <xf numFmtId="9" fontId="10" fillId="0" borderId="0" xfId="3" applyNumberFormat="1" applyFont="1" applyAlignment="1">
      <alignment horizontal="center"/>
    </xf>
    <xf numFmtId="173" fontId="22" fillId="0" borderId="0" xfId="9" applyNumberFormat="1" applyFont="1"/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17" fontId="5" fillId="2" borderId="0" xfId="0" applyNumberFormat="1" applyFont="1" applyFill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10" fillId="4" borderId="0" xfId="0" applyFont="1" applyFill="1" applyBorder="1"/>
    <xf numFmtId="0" fontId="2" fillId="0" borderId="0" xfId="0" applyFont="1" applyBorder="1" applyAlignment="1">
      <alignment horizontal="center" vertical="center"/>
    </xf>
    <xf numFmtId="9" fontId="2" fillId="0" borderId="0" xfId="3" applyFont="1" applyBorder="1"/>
    <xf numFmtId="1" fontId="2" fillId="0" borderId="0" xfId="0" applyNumberFormat="1" applyFont="1" applyBorder="1"/>
    <xf numFmtId="1" fontId="10" fillId="0" borderId="0" xfId="0" applyNumberFormat="1" applyFont="1" applyBorder="1"/>
    <xf numFmtId="0" fontId="2" fillId="0" borderId="6" xfId="0" applyFont="1" applyBorder="1"/>
    <xf numFmtId="1" fontId="2" fillId="0" borderId="6" xfId="0" applyNumberFormat="1" applyFont="1" applyBorder="1"/>
    <xf numFmtId="1" fontId="2" fillId="0" borderId="9" xfId="0" applyNumberFormat="1" applyFont="1" applyBorder="1"/>
    <xf numFmtId="0" fontId="10" fillId="4" borderId="11" xfId="0" applyFont="1" applyFill="1" applyBorder="1"/>
    <xf numFmtId="9" fontId="2" fillId="0" borderId="11" xfId="3" applyFont="1" applyBorder="1"/>
    <xf numFmtId="1" fontId="2" fillId="0" borderId="11" xfId="0" applyNumberFormat="1" applyFont="1" applyBorder="1"/>
    <xf numFmtId="1" fontId="10" fillId="0" borderId="11" xfId="0" applyNumberFormat="1" applyFont="1" applyBorder="1"/>
    <xf numFmtId="0" fontId="3" fillId="0" borderId="1" xfId="0" applyFont="1" applyBorder="1" applyAlignment="1">
      <alignment horizontal="center" vertical="center"/>
    </xf>
    <xf numFmtId="9" fontId="2" fillId="0" borderId="1" xfId="3" applyFont="1" applyBorder="1"/>
    <xf numFmtId="9" fontId="2" fillId="0" borderId="13" xfId="3" applyFont="1" applyBorder="1"/>
    <xf numFmtId="0" fontId="3" fillId="0" borderId="6" xfId="0" applyFont="1" applyBorder="1" applyAlignment="1">
      <alignment horizontal="center" vertical="center" wrapText="1"/>
    </xf>
    <xf numFmtId="175" fontId="2" fillId="0" borderId="6" xfId="9" applyNumberFormat="1" applyFont="1" applyBorder="1"/>
    <xf numFmtId="180" fontId="2" fillId="0" borderId="6" xfId="0" applyNumberFormat="1" applyFont="1" applyBorder="1"/>
    <xf numFmtId="180" fontId="2" fillId="0" borderId="9" xfId="0" applyNumberFormat="1" applyFont="1" applyBorder="1"/>
    <xf numFmtId="0" fontId="3" fillId="0" borderId="0" xfId="0" applyFont="1" applyBorder="1" applyAlignment="1">
      <alignment horizontal="center" vertical="center" wrapText="1"/>
    </xf>
    <xf numFmtId="173" fontId="10" fillId="4" borderId="0" xfId="9" applyNumberFormat="1" applyFont="1" applyFill="1" applyBorder="1"/>
    <xf numFmtId="173" fontId="10" fillId="4" borderId="11" xfId="9" applyNumberFormat="1" applyFont="1" applyFill="1" applyBorder="1"/>
    <xf numFmtId="0" fontId="2" fillId="0" borderId="12" xfId="0" applyFont="1" applyBorder="1"/>
    <xf numFmtId="0" fontId="2" fillId="0" borderId="1" xfId="0" applyFont="1" applyBorder="1" applyAlignment="1">
      <alignment horizontal="center" vertical="center"/>
    </xf>
    <xf numFmtId="9" fontId="2" fillId="0" borderId="6" xfId="0" applyNumberFormat="1" applyFont="1" applyBorder="1"/>
    <xf numFmtId="9" fontId="2" fillId="0" borderId="9" xfId="0" applyNumberFormat="1" applyFont="1" applyBorder="1"/>
    <xf numFmtId="9" fontId="10" fillId="4" borderId="0" xfId="3" applyFont="1" applyFill="1" applyBorder="1"/>
    <xf numFmtId="9" fontId="10" fillId="4" borderId="11" xfId="3" applyFont="1" applyFill="1" applyBorder="1"/>
    <xf numFmtId="0" fontId="2" fillId="0" borderId="11" xfId="0" applyFont="1" applyBorder="1"/>
    <xf numFmtId="1" fontId="2" fillId="0" borderId="0" xfId="3" applyNumberFormat="1" applyFont="1" applyBorder="1"/>
    <xf numFmtId="1" fontId="2" fillId="0" borderId="11" xfId="3" applyNumberFormat="1" applyFont="1" applyBorder="1"/>
    <xf numFmtId="1" fontId="10" fillId="4" borderId="0" xfId="3" applyNumberFormat="1" applyFont="1" applyFill="1" applyBorder="1"/>
    <xf numFmtId="1" fontId="10" fillId="4" borderId="11" xfId="3" applyNumberFormat="1" applyFont="1" applyFill="1" applyBorder="1"/>
    <xf numFmtId="173" fontId="2" fillId="0" borderId="0" xfId="9" applyNumberFormat="1" applyFont="1" applyBorder="1"/>
    <xf numFmtId="173" fontId="2" fillId="0" borderId="11" xfId="9" applyNumberFormat="1" applyFont="1" applyBorder="1"/>
    <xf numFmtId="173" fontId="2" fillId="0" borderId="1" xfId="3" applyNumberFormat="1" applyFont="1" applyBorder="1"/>
    <xf numFmtId="173" fontId="2" fillId="0" borderId="13" xfId="3" applyNumberFormat="1" applyFont="1" applyBorder="1"/>
    <xf numFmtId="0" fontId="2" fillId="0" borderId="15" xfId="0" applyFont="1" applyBorder="1"/>
    <xf numFmtId="0" fontId="2" fillId="0" borderId="17" xfId="0" applyFont="1" applyBorder="1"/>
    <xf numFmtId="0" fontId="2" fillId="0" borderId="16" xfId="0" applyFont="1" applyBorder="1"/>
    <xf numFmtId="0" fontId="2" fillId="0" borderId="14" xfId="0" applyFont="1" applyBorder="1"/>
    <xf numFmtId="0" fontId="2" fillId="0" borderId="18" xfId="0" applyFont="1" applyBorder="1"/>
    <xf numFmtId="0" fontId="3" fillId="0" borderId="19" xfId="0" applyFont="1" applyBorder="1" applyAlignment="1">
      <alignment horizontal="center" vertical="center"/>
    </xf>
    <xf numFmtId="1" fontId="2" fillId="0" borderId="5" xfId="0" applyNumberFormat="1" applyFont="1" applyBorder="1"/>
    <xf numFmtId="0" fontId="3" fillId="0" borderId="21" xfId="0" applyFont="1" applyBorder="1" applyAlignment="1">
      <alignment horizontal="center" vertical="center"/>
    </xf>
    <xf numFmtId="0" fontId="10" fillId="4" borderId="22" xfId="0" applyFont="1" applyFill="1" applyBorder="1"/>
    <xf numFmtId="0" fontId="2" fillId="0" borderId="23" xfId="0" applyFont="1" applyBorder="1" applyAlignment="1">
      <alignment horizontal="center" vertical="center"/>
    </xf>
    <xf numFmtId="9" fontId="2" fillId="0" borderId="2" xfId="3" applyFont="1" applyBorder="1"/>
    <xf numFmtId="0" fontId="3" fillId="0" borderId="19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173" fontId="2" fillId="0" borderId="5" xfId="9" applyNumberFormat="1" applyFont="1" applyBorder="1"/>
    <xf numFmtId="173" fontId="2" fillId="0" borderId="20" xfId="9" applyNumberFormat="1" applyFont="1" applyBorder="1"/>
    <xf numFmtId="17" fontId="5" fillId="2" borderId="10" xfId="0" applyNumberFormat="1" applyFont="1" applyFill="1" applyBorder="1" applyAlignment="1">
      <alignment horizontal="center"/>
    </xf>
    <xf numFmtId="17" fontId="5" fillId="2" borderId="0" xfId="0" applyNumberFormat="1" applyFont="1" applyFill="1" applyBorder="1" applyAlignment="1">
      <alignment horizontal="center"/>
    </xf>
    <xf numFmtId="17" fontId="5" fillId="2" borderId="11" xfId="0" applyNumberFormat="1" applyFont="1" applyFill="1" applyBorder="1" applyAlignment="1">
      <alignment horizontal="center"/>
    </xf>
    <xf numFmtId="1" fontId="2" fillId="0" borderId="25" xfId="0" applyNumberFormat="1" applyFont="1" applyBorder="1"/>
    <xf numFmtId="1" fontId="2" fillId="0" borderId="26" xfId="0" applyNumberFormat="1" applyFont="1" applyBorder="1"/>
    <xf numFmtId="0" fontId="10" fillId="4" borderId="10" xfId="0" applyFont="1" applyFill="1" applyBorder="1"/>
    <xf numFmtId="9" fontId="2" fillId="0" borderId="27" xfId="3" applyFont="1" applyBorder="1"/>
    <xf numFmtId="9" fontId="2" fillId="0" borderId="28" xfId="3" applyFont="1" applyBorder="1"/>
    <xf numFmtId="1" fontId="10" fillId="0" borderId="10" xfId="0" applyNumberFormat="1" applyFont="1" applyBorder="1"/>
    <xf numFmtId="9" fontId="2" fillId="0" borderId="10" xfId="3" applyFont="1" applyBorder="1"/>
    <xf numFmtId="9" fontId="2" fillId="0" borderId="12" xfId="3" applyFont="1" applyBorder="1"/>
    <xf numFmtId="180" fontId="2" fillId="0" borderId="8" xfId="0" applyNumberFormat="1" applyFont="1" applyBorder="1"/>
    <xf numFmtId="173" fontId="10" fillId="4" borderId="10" xfId="9" applyNumberFormat="1" applyFont="1" applyFill="1" applyBorder="1"/>
    <xf numFmtId="9" fontId="2" fillId="0" borderId="8" xfId="0" applyNumberFormat="1" applyFont="1" applyBorder="1"/>
    <xf numFmtId="9" fontId="10" fillId="4" borderId="10" xfId="3" applyFont="1" applyFill="1" applyBorder="1"/>
    <xf numFmtId="1" fontId="2" fillId="0" borderId="8" xfId="0" applyNumberFormat="1" applyFont="1" applyBorder="1"/>
    <xf numFmtId="0" fontId="2" fillId="0" borderId="25" xfId="0" applyFont="1" applyBorder="1"/>
    <xf numFmtId="0" fontId="2" fillId="0" borderId="26" xfId="0" applyFont="1" applyBorder="1"/>
    <xf numFmtId="1" fontId="2" fillId="0" borderId="10" xfId="3" applyNumberFormat="1" applyFont="1" applyBorder="1"/>
    <xf numFmtId="1" fontId="10" fillId="4" borderId="10" xfId="3" applyNumberFormat="1" applyFont="1" applyFill="1" applyBorder="1"/>
    <xf numFmtId="173" fontId="2" fillId="0" borderId="25" xfId="9" applyNumberFormat="1" applyFont="1" applyBorder="1"/>
    <xf numFmtId="173" fontId="2" fillId="0" borderId="26" xfId="9" applyNumberFormat="1" applyFont="1" applyBorder="1"/>
    <xf numFmtId="173" fontId="2" fillId="0" borderId="10" xfId="9" applyNumberFormat="1" applyFont="1" applyBorder="1"/>
    <xf numFmtId="0" fontId="2" fillId="0" borderId="10" xfId="0" applyFont="1" applyBorder="1"/>
    <xf numFmtId="0" fontId="2" fillId="0" borderId="13" xfId="0" applyFont="1" applyBorder="1"/>
    <xf numFmtId="0" fontId="2" fillId="0" borderId="19" xfId="0" applyFont="1" applyBorder="1"/>
    <xf numFmtId="0" fontId="2" fillId="0" borderId="21" xfId="0" applyFont="1" applyBorder="1"/>
    <xf numFmtId="0" fontId="2" fillId="0" borderId="23" xfId="0" applyFont="1" applyBorder="1"/>
    <xf numFmtId="0" fontId="2" fillId="0" borderId="29" xfId="0" applyFont="1" applyBorder="1"/>
    <xf numFmtId="0" fontId="2" fillId="0" borderId="30" xfId="0" applyFont="1" applyBorder="1"/>
    <xf numFmtId="175" fontId="2" fillId="0" borderId="8" xfId="9" applyNumberFormat="1" applyFont="1" applyBorder="1"/>
    <xf numFmtId="175" fontId="2" fillId="0" borderId="9" xfId="9" applyNumberFormat="1" applyFont="1" applyBorder="1"/>
    <xf numFmtId="1" fontId="2" fillId="0" borderId="25" xfId="9" applyNumberFormat="1" applyFont="1" applyBorder="1"/>
    <xf numFmtId="1" fontId="10" fillId="4" borderId="10" xfId="9" applyNumberFormat="1" applyFont="1" applyFill="1" applyBorder="1"/>
    <xf numFmtId="1" fontId="2" fillId="0" borderId="27" xfId="3" applyNumberFormat="1" applyFont="1" applyBorder="1"/>
    <xf numFmtId="0" fontId="2" fillId="0" borderId="21" xfId="0" applyFont="1" applyBorder="1" applyAlignment="1">
      <alignment horizontal="center" vertical="center"/>
    </xf>
    <xf numFmtId="172" fontId="10" fillId="4" borderId="10" xfId="9" applyNumberFormat="1" applyFont="1" applyFill="1" applyBorder="1"/>
    <xf numFmtId="173" fontId="2" fillId="0" borderId="27" xfId="9" applyNumberFormat="1" applyFont="1" applyBorder="1"/>
    <xf numFmtId="172" fontId="10" fillId="4" borderId="0" xfId="9" applyNumberFormat="1" applyFont="1" applyFill="1" applyBorder="1"/>
    <xf numFmtId="172" fontId="10" fillId="4" borderId="11" xfId="9" applyNumberFormat="1" applyFont="1" applyFill="1" applyBorder="1"/>
    <xf numFmtId="0" fontId="2" fillId="0" borderId="15" xfId="0" applyFont="1" applyBorder="1" applyAlignment="1">
      <alignment horizontal="center"/>
    </xf>
    <xf numFmtId="173" fontId="2" fillId="0" borderId="10" xfId="3" applyNumberFormat="1" applyFont="1" applyBorder="1"/>
    <xf numFmtId="173" fontId="2" fillId="0" borderId="0" xfId="3" applyNumberFormat="1" applyFont="1" applyBorder="1"/>
    <xf numFmtId="173" fontId="2" fillId="0" borderId="11" xfId="3" applyNumberFormat="1" applyFont="1" applyBorder="1"/>
    <xf numFmtId="0" fontId="3" fillId="0" borderId="30" xfId="0" applyFont="1" applyBorder="1" applyAlignment="1">
      <alignment horizontal="center" vertical="center" wrapText="1"/>
    </xf>
    <xf numFmtId="1" fontId="2" fillId="0" borderId="8" xfId="9" applyNumberFormat="1" applyFont="1" applyBorder="1"/>
    <xf numFmtId="0" fontId="2" fillId="0" borderId="9" xfId="0" applyFont="1" applyBorder="1"/>
    <xf numFmtId="0" fontId="2" fillId="0" borderId="8" xfId="0" applyFont="1" applyBorder="1"/>
    <xf numFmtId="0" fontId="2" fillId="0" borderId="29" xfId="0" applyFont="1" applyBorder="1" applyAlignment="1">
      <alignment horizontal="center" vertical="center"/>
    </xf>
    <xf numFmtId="173" fontId="2" fillId="0" borderId="12" xfId="3" applyNumberFormat="1" applyFont="1" applyBorder="1"/>
    <xf numFmtId="1" fontId="2" fillId="0" borderId="19" xfId="3" applyNumberFormat="1" applyFont="1" applyBorder="1"/>
    <xf numFmtId="1" fontId="10" fillId="4" borderId="21" xfId="3" applyNumberFormat="1" applyFont="1" applyFill="1" applyBorder="1"/>
    <xf numFmtId="9" fontId="2" fillId="0" borderId="23" xfId="3" applyFont="1" applyBorder="1"/>
    <xf numFmtId="1" fontId="2" fillId="0" borderId="10" xfId="0" applyNumberFormat="1" applyFont="1" applyBorder="1"/>
    <xf numFmtId="173" fontId="2" fillId="0" borderId="8" xfId="9" applyNumberFormat="1" applyFont="1" applyBorder="1"/>
    <xf numFmtId="173" fontId="2" fillId="0" borderId="6" xfId="9" applyNumberFormat="1" applyFont="1" applyBorder="1"/>
    <xf numFmtId="173" fontId="2" fillId="0" borderId="9" xfId="9" applyNumberFormat="1" applyFont="1" applyBorder="1"/>
    <xf numFmtId="0" fontId="3" fillId="0" borderId="30" xfId="0" applyFont="1" applyBorder="1" applyAlignment="1">
      <alignment horizontal="center" vertical="center"/>
    </xf>
    <xf numFmtId="44" fontId="10" fillId="4" borderId="10" xfId="9" applyNumberFormat="1" applyFont="1" applyFill="1" applyBorder="1"/>
    <xf numFmtId="0" fontId="25" fillId="2" borderId="0" xfId="0" applyFont="1" applyFill="1"/>
    <xf numFmtId="0" fontId="2" fillId="5" borderId="0" xfId="0" applyFont="1" applyFill="1"/>
    <xf numFmtId="0" fontId="25" fillId="5" borderId="0" xfId="0" applyFont="1" applyFill="1"/>
    <xf numFmtId="0" fontId="25" fillId="8" borderId="0" xfId="0" applyFont="1" applyFill="1"/>
    <xf numFmtId="0" fontId="2" fillId="8" borderId="0" xfId="0" applyFont="1" applyFill="1"/>
    <xf numFmtId="0" fontId="2" fillId="2" borderId="0" xfId="0" applyFont="1" applyFill="1"/>
    <xf numFmtId="0" fontId="25" fillId="7" borderId="0" xfId="0" applyFont="1" applyFill="1"/>
    <xf numFmtId="167" fontId="10" fillId="10" borderId="0" xfId="1" applyNumberFormat="1" applyFont="1" applyFill="1"/>
    <xf numFmtId="167" fontId="13" fillId="10" borderId="0" xfId="1" applyNumberFormat="1" applyFont="1" applyFill="1"/>
    <xf numFmtId="167" fontId="13" fillId="10" borderId="0" xfId="1" applyNumberFormat="1" applyFont="1" applyFill="1" applyAlignment="1">
      <alignment horizontal="center" wrapText="1"/>
    </xf>
    <xf numFmtId="167" fontId="6" fillId="10" borderId="0" xfId="1" applyNumberFormat="1" applyFont="1" applyFill="1"/>
    <xf numFmtId="0" fontId="2" fillId="10" borderId="0" xfId="0" applyFont="1" applyFill="1" applyAlignment="1">
      <alignment horizontal="left"/>
    </xf>
    <xf numFmtId="167" fontId="6" fillId="10" borderId="0" xfId="1" applyNumberFormat="1" applyFont="1" applyFill="1" applyAlignment="1">
      <alignment horizontal="center" wrapText="1"/>
    </xf>
    <xf numFmtId="173" fontId="6" fillId="10" borderId="0" xfId="0" applyNumberFormat="1" applyFont="1" applyFill="1" applyAlignment="1">
      <alignment horizontal="center" wrapText="1"/>
    </xf>
    <xf numFmtId="173" fontId="6" fillId="10" borderId="0" xfId="9" applyNumberFormat="1" applyFont="1" applyFill="1" applyAlignment="1">
      <alignment horizontal="center" wrapText="1"/>
    </xf>
    <xf numFmtId="173" fontId="9" fillId="0" borderId="7" xfId="0" applyNumberFormat="1" applyFont="1" applyBorder="1"/>
    <xf numFmtId="0" fontId="6" fillId="0" borderId="0" xfId="0" applyFont="1" applyBorder="1"/>
    <xf numFmtId="173" fontId="6" fillId="0" borderId="0" xfId="0" applyNumberFormat="1" applyFont="1" applyBorder="1"/>
    <xf numFmtId="167" fontId="13" fillId="10" borderId="0" xfId="0" applyNumberFormat="1" applyFont="1" applyFill="1"/>
    <xf numFmtId="167" fontId="13" fillId="10" borderId="0" xfId="0" applyNumberFormat="1" applyFont="1" applyFill="1" applyAlignment="1">
      <alignment horizontal="right"/>
    </xf>
    <xf numFmtId="167" fontId="6" fillId="10" borderId="0" xfId="1" applyNumberFormat="1" applyFont="1" applyFill="1" applyAlignment="1">
      <alignment horizontal="right" wrapText="1"/>
    </xf>
    <xf numFmtId="167" fontId="13" fillId="0" borderId="0" xfId="1" applyNumberFormat="1" applyFont="1" applyBorder="1"/>
    <xf numFmtId="173" fontId="9" fillId="0" borderId="7" xfId="9" applyNumberFormat="1" applyFont="1" applyBorder="1"/>
    <xf numFmtId="17" fontId="2" fillId="0" borderId="0" xfId="0" applyNumberFormat="1" applyFont="1" applyBorder="1"/>
    <xf numFmtId="174" fontId="3" fillId="0" borderId="0" xfId="0" applyNumberFormat="1" applyFont="1" applyBorder="1"/>
    <xf numFmtId="10" fontId="6" fillId="10" borderId="0" xfId="3" applyNumberFormat="1" applyFont="1" applyFill="1" applyAlignment="1">
      <alignment horizontal="right"/>
    </xf>
    <xf numFmtId="0" fontId="4" fillId="5" borderId="0" xfId="0" applyFont="1" applyFill="1" applyAlignment="1"/>
    <xf numFmtId="0" fontId="4" fillId="5" borderId="0" xfId="0" applyFont="1" applyFill="1" applyAlignment="1">
      <alignment wrapText="1"/>
    </xf>
    <xf numFmtId="173" fontId="2" fillId="0" borderId="2" xfId="0" applyNumberFormat="1" applyFont="1" applyBorder="1"/>
    <xf numFmtId="0" fontId="3" fillId="0" borderId="21" xfId="0" applyFont="1" applyBorder="1"/>
    <xf numFmtId="173" fontId="2" fillId="0" borderId="24" xfId="9" applyNumberFormat="1" applyFont="1" applyBorder="1"/>
    <xf numFmtId="1" fontId="3" fillId="0" borderId="20" xfId="0" applyNumberFormat="1" applyFont="1" applyBorder="1"/>
    <xf numFmtId="1" fontId="2" fillId="0" borderId="0" xfId="9" applyNumberFormat="1" applyFont="1" applyBorder="1"/>
    <xf numFmtId="1" fontId="2" fillId="0" borderId="22" xfId="9" applyNumberFormat="1" applyFont="1" applyBorder="1"/>
    <xf numFmtId="1" fontId="10" fillId="4" borderId="0" xfId="9" applyNumberFormat="1" applyFont="1" applyFill="1" applyBorder="1"/>
    <xf numFmtId="1" fontId="10" fillId="4" borderId="22" xfId="9" applyNumberFormat="1" applyFont="1" applyFill="1" applyBorder="1"/>
    <xf numFmtId="1" fontId="2" fillId="0" borderId="2" xfId="3" applyNumberFormat="1" applyFont="1" applyBorder="1"/>
    <xf numFmtId="1" fontId="2" fillId="0" borderId="24" xfId="3" applyNumberFormat="1" applyFont="1" applyBorder="1"/>
    <xf numFmtId="173" fontId="2" fillId="0" borderId="22" xfId="9" applyNumberFormat="1" applyFont="1" applyBorder="1"/>
    <xf numFmtId="173" fontId="2" fillId="0" borderId="22" xfId="0" applyNumberFormat="1" applyFont="1" applyBorder="1"/>
    <xf numFmtId="0" fontId="3" fillId="0" borderId="22" xfId="0" applyFont="1" applyBorder="1"/>
    <xf numFmtId="0" fontId="4" fillId="2" borderId="14" xfId="0" applyFont="1" applyFill="1" applyBorder="1"/>
    <xf numFmtId="0" fontId="4" fillId="2" borderId="15" xfId="0" applyFont="1" applyFill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/>
    </xf>
    <xf numFmtId="173" fontId="2" fillId="0" borderId="35" xfId="0" applyNumberFormat="1" applyFont="1" applyBorder="1"/>
    <xf numFmtId="0" fontId="3" fillId="0" borderId="18" xfId="0" applyFont="1" applyBorder="1" applyAlignment="1">
      <alignment horizontal="center"/>
    </xf>
    <xf numFmtId="173" fontId="2" fillId="0" borderId="0" xfId="0" applyNumberFormat="1" applyFont="1" applyBorder="1"/>
    <xf numFmtId="0" fontId="2" fillId="0" borderId="28" xfId="0" applyFont="1" applyBorder="1"/>
    <xf numFmtId="173" fontId="2" fillId="0" borderId="1" xfId="0" applyNumberFormat="1" applyFont="1" applyBorder="1"/>
    <xf numFmtId="0" fontId="3" fillId="0" borderId="6" xfId="0" applyFont="1" applyBorder="1"/>
    <xf numFmtId="0" fontId="3" fillId="0" borderId="31" xfId="0" applyFont="1" applyBorder="1"/>
    <xf numFmtId="0" fontId="2" fillId="0" borderId="27" xfId="0" applyFont="1" applyBorder="1"/>
    <xf numFmtId="0" fontId="4" fillId="2" borderId="19" xfId="0" applyFont="1" applyFill="1" applyBorder="1"/>
    <xf numFmtId="0" fontId="4" fillId="2" borderId="21" xfId="0" applyFont="1" applyFill="1" applyBorder="1" applyAlignment="1">
      <alignment horizontal="center"/>
    </xf>
    <xf numFmtId="0" fontId="3" fillId="0" borderId="30" xfId="0" applyFont="1" applyBorder="1"/>
    <xf numFmtId="0" fontId="3" fillId="0" borderId="10" xfId="0" applyFont="1" applyBorder="1"/>
    <xf numFmtId="173" fontId="2" fillId="0" borderId="12" xfId="9" applyNumberFormat="1" applyFont="1" applyBorder="1"/>
    <xf numFmtId="173" fontId="3" fillId="0" borderId="8" xfId="9" applyNumberFormat="1" applyFont="1" applyBorder="1"/>
    <xf numFmtId="1" fontId="3" fillId="0" borderId="25" xfId="9" applyNumberFormat="1" applyFont="1" applyBorder="1"/>
    <xf numFmtId="1" fontId="2" fillId="0" borderId="10" xfId="9" applyNumberFormat="1" applyFont="1" applyBorder="1"/>
    <xf numFmtId="9" fontId="2" fillId="0" borderId="10" xfId="0" applyNumberFormat="1" applyFont="1" applyBorder="1"/>
    <xf numFmtId="9" fontId="6" fillId="10" borderId="10" xfId="3" applyFont="1" applyFill="1" applyBorder="1"/>
    <xf numFmtId="9" fontId="2" fillId="0" borderId="25" xfId="0" applyNumberFormat="1" applyFont="1" applyBorder="1"/>
    <xf numFmtId="9" fontId="10" fillId="4" borderId="10" xfId="0" applyNumberFormat="1" applyFont="1" applyFill="1" applyBorder="1"/>
    <xf numFmtId="9" fontId="6" fillId="10" borderId="27" xfId="3" applyFont="1" applyFill="1" applyBorder="1"/>
    <xf numFmtId="9" fontId="6" fillId="10" borderId="12" xfId="3" applyFont="1" applyFill="1" applyBorder="1"/>
    <xf numFmtId="173" fontId="2" fillId="0" borderId="10" xfId="0" applyNumberFormat="1" applyFont="1" applyBorder="1"/>
    <xf numFmtId="173" fontId="2" fillId="0" borderId="11" xfId="0" applyNumberFormat="1" applyFont="1" applyBorder="1"/>
    <xf numFmtId="173" fontId="2" fillId="0" borderId="27" xfId="0" applyNumberFormat="1" applyFont="1" applyBorder="1"/>
    <xf numFmtId="173" fontId="2" fillId="0" borderId="28" xfId="0" applyNumberFormat="1" applyFont="1" applyBorder="1"/>
    <xf numFmtId="173" fontId="3" fillId="0" borderId="25" xfId="9" applyNumberFormat="1" applyFont="1" applyBorder="1"/>
    <xf numFmtId="173" fontId="3" fillId="0" borderId="26" xfId="9" applyNumberFormat="1" applyFont="1" applyBorder="1"/>
    <xf numFmtId="173" fontId="2" fillId="0" borderId="12" xfId="0" applyNumberFormat="1" applyFont="1" applyBorder="1"/>
    <xf numFmtId="173" fontId="2" fillId="0" borderId="13" xfId="0" applyNumberFormat="1" applyFont="1" applyBorder="1"/>
    <xf numFmtId="0" fontId="2" fillId="0" borderId="36" xfId="0" applyFont="1" applyBorder="1"/>
    <xf numFmtId="0" fontId="2" fillId="0" borderId="37" xfId="0" applyFont="1" applyBorder="1"/>
    <xf numFmtId="0" fontId="2" fillId="0" borderId="38" xfId="0" applyFont="1" applyBorder="1"/>
    <xf numFmtId="0" fontId="2" fillId="0" borderId="39" xfId="0" applyFont="1" applyBorder="1"/>
    <xf numFmtId="0" fontId="2" fillId="0" borderId="40" xfId="0" applyFont="1" applyBorder="1"/>
    <xf numFmtId="1" fontId="2" fillId="0" borderId="12" xfId="3" applyNumberFormat="1" applyFont="1" applyBorder="1"/>
    <xf numFmtId="1" fontId="2" fillId="0" borderId="1" xfId="3" applyNumberFormat="1" applyFont="1" applyBorder="1"/>
    <xf numFmtId="1" fontId="2" fillId="0" borderId="13" xfId="3" applyNumberFormat="1" applyFont="1" applyBorder="1"/>
    <xf numFmtId="1" fontId="6" fillId="10" borderId="0" xfId="0" applyNumberFormat="1" applyFont="1" applyFill="1" applyAlignment="1">
      <alignment horizontal="center"/>
    </xf>
    <xf numFmtId="1" fontId="6" fillId="10" borderId="0" xfId="3" applyNumberFormat="1" applyFont="1" applyFill="1" applyAlignment="1">
      <alignment horizontal="center"/>
    </xf>
    <xf numFmtId="0" fontId="4" fillId="5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center" vertical="center"/>
    </xf>
    <xf numFmtId="0" fontId="10" fillId="0" borderId="0" xfId="0" applyFont="1" applyBorder="1"/>
    <xf numFmtId="17" fontId="4" fillId="8" borderId="0" xfId="0" applyNumberFormat="1" applyFont="1" applyFill="1" applyAlignment="1">
      <alignment horizontal="left"/>
    </xf>
    <xf numFmtId="1" fontId="9" fillId="0" borderId="0" xfId="9" applyNumberFormat="1" applyFont="1"/>
    <xf numFmtId="1" fontId="6" fillId="0" borderId="0" xfId="9" applyNumberFormat="1" applyFont="1"/>
    <xf numFmtId="173" fontId="9" fillId="0" borderId="0" xfId="9" applyNumberFormat="1" applyFont="1"/>
    <xf numFmtId="0" fontId="3" fillId="0" borderId="0" xfId="0" applyFont="1" applyAlignment="1">
      <alignment wrapText="1"/>
    </xf>
    <xf numFmtId="2" fontId="10" fillId="0" borderId="0" xfId="0" applyNumberFormat="1" applyFont="1"/>
    <xf numFmtId="17" fontId="4" fillId="2" borderId="0" xfId="0" applyNumberFormat="1" applyFont="1" applyFill="1" applyAlignment="1">
      <alignment horizontal="left"/>
    </xf>
    <xf numFmtId="17" fontId="4" fillId="7" borderId="0" xfId="0" applyNumberFormat="1" applyFont="1" applyFill="1" applyAlignment="1">
      <alignment horizontal="left"/>
    </xf>
    <xf numFmtId="0" fontId="9" fillId="10" borderId="0" xfId="0" applyFont="1" applyFill="1"/>
    <xf numFmtId="173" fontId="9" fillId="10" borderId="5" xfId="9" applyNumberFormat="1" applyFont="1" applyFill="1" applyBorder="1"/>
    <xf numFmtId="173" fontId="9" fillId="10" borderId="0" xfId="9" applyNumberFormat="1" applyFont="1" applyFill="1" applyBorder="1"/>
    <xf numFmtId="0" fontId="10" fillId="4" borderId="5" xfId="0" applyFont="1" applyFill="1" applyBorder="1"/>
    <xf numFmtId="181" fontId="6" fillId="10" borderId="0" xfId="9" applyNumberFormat="1" applyFont="1" applyFill="1"/>
    <xf numFmtId="173" fontId="2" fillId="0" borderId="0" xfId="9" applyNumberFormat="1" applyFont="1" applyAlignment="1">
      <alignment horizontal="right"/>
    </xf>
    <xf numFmtId="173" fontId="3" fillId="0" borderId="5" xfId="0" applyNumberFormat="1" applyFont="1" applyBorder="1"/>
    <xf numFmtId="0" fontId="6" fillId="4" borderId="0" xfId="0" applyFont="1" applyFill="1"/>
    <xf numFmtId="0" fontId="27" fillId="0" borderId="0" xfId="5" applyFont="1" applyFill="1" applyBorder="1"/>
    <xf numFmtId="0" fontId="28" fillId="0" borderId="0" xfId="5" applyFont="1" applyFill="1" applyBorder="1" applyProtection="1">
      <protection locked="0"/>
    </xf>
    <xf numFmtId="0" fontId="27" fillId="9" borderId="0" xfId="5" applyFont="1" applyFill="1"/>
    <xf numFmtId="0" fontId="27" fillId="10" borderId="0" xfId="5" applyFont="1" applyFill="1"/>
    <xf numFmtId="0" fontId="29" fillId="10" borderId="0" xfId="4" applyFont="1" applyFill="1"/>
    <xf numFmtId="0" fontId="27" fillId="10" borderId="0" xfId="5" applyFont="1" applyFill="1" applyBorder="1"/>
    <xf numFmtId="0" fontId="14" fillId="10" borderId="0" xfId="7" applyFont="1" applyFill="1" applyBorder="1"/>
    <xf numFmtId="0" fontId="19" fillId="10" borderId="0" xfId="8" applyFont="1" applyFill="1" applyBorder="1"/>
    <xf numFmtId="0" fontId="14" fillId="10" borderId="0" xfId="5" applyFont="1" applyFill="1"/>
    <xf numFmtId="0" fontId="14" fillId="10" borderId="0" xfId="5" applyFont="1" applyFill="1" applyBorder="1"/>
    <xf numFmtId="0" fontId="28" fillId="0" borderId="0" xfId="5" applyFont="1" applyFill="1" applyBorder="1" applyAlignment="1" applyProtection="1">
      <alignment horizontal="left"/>
      <protection locked="0"/>
    </xf>
    <xf numFmtId="0" fontId="27" fillId="10" borderId="0" xfId="5" applyFont="1" applyFill="1" applyBorder="1" applyAlignment="1">
      <alignment horizontal="left"/>
    </xf>
    <xf numFmtId="0" fontId="29" fillId="10" borderId="0" xfId="4" applyFont="1" applyFill="1" applyAlignment="1">
      <alignment horizontal="left"/>
    </xf>
    <xf numFmtId="0" fontId="27" fillId="0" borderId="0" xfId="5" applyFont="1" applyFill="1" applyBorder="1" applyAlignment="1">
      <alignment horizontal="left"/>
    </xf>
    <xf numFmtId="0" fontId="27" fillId="10" borderId="0" xfId="5" applyFont="1" applyFill="1" applyAlignment="1">
      <alignment horizontal="left"/>
    </xf>
    <xf numFmtId="0" fontId="29" fillId="10" borderId="0" xfId="4" applyFont="1" applyFill="1" applyBorder="1"/>
    <xf numFmtId="0" fontId="30" fillId="7" borderId="2" xfId="5" applyFont="1" applyFill="1" applyBorder="1" applyAlignment="1" applyProtection="1">
      <alignment horizontal="left"/>
      <protection locked="0"/>
    </xf>
    <xf numFmtId="0" fontId="30" fillId="2" borderId="2" xfId="5" applyFont="1" applyFill="1" applyBorder="1" applyAlignment="1" applyProtection="1">
      <alignment horizontal="left"/>
      <protection locked="0"/>
    </xf>
    <xf numFmtId="44" fontId="2" fillId="10" borderId="0" xfId="9" applyFont="1" applyFill="1" applyAlignment="1">
      <alignment horizontal="left"/>
    </xf>
    <xf numFmtId="169" fontId="6" fillId="10" borderId="0" xfId="3" applyNumberFormat="1" applyFont="1" applyFill="1"/>
    <xf numFmtId="44" fontId="6" fillId="10" borderId="0" xfId="0" applyNumberFormat="1" applyFont="1" applyFill="1"/>
    <xf numFmtId="0" fontId="13" fillId="10" borderId="5" xfId="0" applyFont="1" applyFill="1" applyBorder="1"/>
    <xf numFmtId="173" fontId="13" fillId="10" borderId="5" xfId="9" applyNumberFormat="1" applyFont="1" applyFill="1" applyBorder="1" applyAlignment="1">
      <alignment horizontal="center" wrapText="1"/>
    </xf>
    <xf numFmtId="9" fontId="10" fillId="10" borderId="0" xfId="0" applyNumberFormat="1" applyFont="1" applyFill="1"/>
    <xf numFmtId="173" fontId="2" fillId="0" borderId="2" xfId="9" applyNumberFormat="1" applyFont="1" applyBorder="1" applyAlignment="1">
      <alignment horizontal="right"/>
    </xf>
    <xf numFmtId="174" fontId="32" fillId="0" borderId="0" xfId="0" applyNumberFormat="1" applyFont="1"/>
    <xf numFmtId="0" fontId="30" fillId="5" borderId="2" xfId="5" applyFont="1" applyFill="1" applyBorder="1" applyAlignment="1" applyProtection="1">
      <alignment horizontal="left"/>
      <protection locked="0"/>
    </xf>
    <xf numFmtId="0" fontId="30" fillId="8" borderId="2" xfId="5" applyFont="1" applyFill="1" applyBorder="1" applyAlignment="1" applyProtection="1">
      <alignment horizontal="left"/>
      <protection locked="0"/>
    </xf>
    <xf numFmtId="0" fontId="31" fillId="18" borderId="2" xfId="5" applyFont="1" applyFill="1" applyBorder="1" applyAlignment="1" applyProtection="1">
      <alignment horizontal="left"/>
      <protection locked="0"/>
    </xf>
    <xf numFmtId="0" fontId="30" fillId="19" borderId="2" xfId="5" applyFont="1" applyFill="1" applyBorder="1" applyAlignment="1" applyProtection="1">
      <alignment horizontal="left"/>
      <protection locked="0"/>
    </xf>
    <xf numFmtId="0" fontId="31" fillId="17" borderId="2" xfId="5" applyFont="1" applyFill="1" applyBorder="1" applyAlignment="1" applyProtection="1">
      <alignment horizontal="left"/>
      <protection locked="0"/>
    </xf>
    <xf numFmtId="0" fontId="31" fillId="4" borderId="2" xfId="5" applyFont="1" applyFill="1" applyBorder="1" applyAlignment="1" applyProtection="1">
      <alignment horizontal="left"/>
      <protection locked="0"/>
    </xf>
    <xf numFmtId="17" fontId="4" fillId="8" borderId="0" xfId="0" applyNumberFormat="1" applyFont="1" applyFill="1" applyAlignment="1">
      <alignment horizontal="left" wrapText="1"/>
    </xf>
    <xf numFmtId="0" fontId="4" fillId="8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left" wrapText="1"/>
    </xf>
    <xf numFmtId="0" fontId="3" fillId="10" borderId="0" xfId="0" applyFont="1" applyFill="1" applyAlignment="1">
      <alignment horizontal="left" wrapText="1"/>
    </xf>
    <xf numFmtId="0" fontId="4" fillId="5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center" vertical="center"/>
    </xf>
    <xf numFmtId="0" fontId="6" fillId="10" borderId="0" xfId="0" applyFont="1" applyFill="1" applyAlignment="1">
      <alignment horizontal="center" wrapText="1"/>
    </xf>
    <xf numFmtId="1" fontId="6" fillId="10" borderId="0" xfId="0" applyNumberFormat="1" applyFont="1" applyFill="1" applyAlignment="1">
      <alignment horizontal="center"/>
    </xf>
    <xf numFmtId="1" fontId="6" fillId="10" borderId="0" xfId="3" applyNumberFormat="1" applyFont="1" applyFill="1" applyAlignment="1">
      <alignment horizontal="center"/>
    </xf>
    <xf numFmtId="0" fontId="6" fillId="10" borderId="0" xfId="0" applyFont="1" applyFill="1" applyAlignment="1">
      <alignment horizontal="center"/>
    </xf>
    <xf numFmtId="1" fontId="6" fillId="10" borderId="0" xfId="9" applyNumberFormat="1" applyFont="1" applyFill="1" applyAlignment="1">
      <alignment horizontal="center"/>
    </xf>
    <xf numFmtId="1" fontId="13" fillId="10" borderId="0" xfId="9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2" fillId="10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23" fillId="0" borderId="8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6" fillId="10" borderId="0" xfId="1" applyNumberFormat="1" applyFont="1" applyFill="1" applyAlignment="1">
      <alignment horizontal="right"/>
    </xf>
    <xf numFmtId="167" fontId="10" fillId="10" borderId="5" xfId="1" applyNumberFormat="1" applyFont="1" applyFill="1" applyBorder="1"/>
    <xf numFmtId="174" fontId="10" fillId="4" borderId="0" xfId="0" applyNumberFormat="1" applyFont="1" applyFill="1" applyBorder="1"/>
    <xf numFmtId="167" fontId="2" fillId="0" borderId="0" xfId="1" applyNumberFormat="1" applyFont="1"/>
    <xf numFmtId="167" fontId="3" fillId="0" borderId="0" xfId="1" applyNumberFormat="1" applyFont="1"/>
    <xf numFmtId="167" fontId="9" fillId="10" borderId="0" xfId="1" applyNumberFormat="1" applyFont="1" applyFill="1"/>
    <xf numFmtId="167" fontId="3" fillId="0" borderId="5" xfId="1" applyNumberFormat="1" applyFont="1" applyBorder="1"/>
    <xf numFmtId="167" fontId="4" fillId="14" borderId="0" xfId="1" applyNumberFormat="1" applyFont="1" applyFill="1" applyAlignment="1">
      <alignment horizontal="center" wrapText="1"/>
    </xf>
    <xf numFmtId="167" fontId="4" fillId="13" borderId="0" xfId="1" applyNumberFormat="1" applyFont="1" applyFill="1" applyAlignment="1">
      <alignment horizontal="center" wrapText="1"/>
    </xf>
    <xf numFmtId="169" fontId="2" fillId="10" borderId="0" xfId="3" applyNumberFormat="1" applyFont="1" applyFill="1"/>
    <xf numFmtId="171" fontId="10" fillId="10" borderId="0" xfId="0" applyNumberFormat="1" applyFont="1" applyFill="1"/>
    <xf numFmtId="1" fontId="9" fillId="10" borderId="0" xfId="0" applyNumberFormat="1" applyFont="1" applyFill="1"/>
    <xf numFmtId="1" fontId="9" fillId="10" borderId="5" xfId="0" applyNumberFormat="1" applyFont="1" applyFill="1" applyBorder="1"/>
  </cellXfs>
  <cellStyles count="10">
    <cellStyle name="Hyperlink 2" xfId="6" xr:uid="{00000000-0005-0000-0000-000002000000}"/>
    <cellStyle name="Hyperlink 2 2" xfId="8" xr:uid="{C7BB0861-1404-464F-AF13-641BA387308B}"/>
    <cellStyle name="Hyperlink 3" xfId="2" xr:uid="{00000000-0005-0000-0000-000003000000}"/>
    <cellStyle name="Lien hypertexte" xfId="4" builtinId="8"/>
    <cellStyle name="Milliers" xfId="1" builtinId="3"/>
    <cellStyle name="Monétaire" xfId="9" builtinId="4"/>
    <cellStyle name="Normal" xfId="0" builtinId="0"/>
    <cellStyle name="Normal 2" xfId="5" xr:uid="{00000000-0005-0000-0000-000005000000}"/>
    <cellStyle name="Normal 2 2 2" xfId="7" xr:uid="{E28C392A-2768-428E-9B1D-2ABCC1B6C5CC}"/>
    <cellStyle name="Pourcentage" xfId="3" builtinId="5"/>
  </cellStyles>
  <dxfs count="3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Users monthly acquisition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data'!$E$3:$P$3</c:f>
              <c:numCache>
                <c:formatCode>0</c:formatCode>
                <c:ptCount val="12"/>
                <c:pt idx="0">
                  <c:v>195.97499999999999</c:v>
                </c:pt>
                <c:pt idx="1">
                  <c:v>255.74250000000001</c:v>
                </c:pt>
                <c:pt idx="2">
                  <c:v>295.22512499999999</c:v>
                </c:pt>
                <c:pt idx="3">
                  <c:v>340.63014375</c:v>
                </c:pt>
                <c:pt idx="4">
                  <c:v>392.84591531249998</c:v>
                </c:pt>
                <c:pt idx="5">
                  <c:v>452.89405260937502</c:v>
                </c:pt>
                <c:pt idx="6">
                  <c:v>61994.449410500783</c:v>
                </c:pt>
                <c:pt idx="7">
                  <c:v>81272.188905409246</c:v>
                </c:pt>
                <c:pt idx="8">
                  <c:v>106030.59807455396</c:v>
                </c:pt>
                <c:pt idx="9">
                  <c:v>138385.0398690704</c:v>
                </c:pt>
                <c:pt idx="10">
                  <c:v>180347.4028077643</c:v>
                </c:pt>
                <c:pt idx="11">
                  <c:v>234784.62877476227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5-C646-97B5-EFD1C4325E2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data'!$E$4:$P$4</c:f>
              <c:numCache>
                <c:formatCode>General</c:formatCode>
                <c:ptCount val="12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5-C646-97B5-EFD1C4325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9722063"/>
        <c:axId val="1979723695"/>
      </c:barChart>
      <c:dateAx>
        <c:axId val="197972206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79723695"/>
        <c:crosses val="autoZero"/>
        <c:auto val="1"/>
        <c:lblOffset val="100"/>
        <c:baseTimeUnit val="months"/>
      </c:dateAx>
      <c:valAx>
        <c:axId val="1979723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79722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Sales team wages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data'!$E$38:$P$38</c:f>
              <c:numCache>
                <c:formatCode>_ * #\ ##0_)\ "€"_ ;_ * \(#\ ##0\)\ "€"_ ;_ * "-"??_)\ "€"_ ;_ @_ </c:formatCode>
                <c:ptCount val="12"/>
                <c:pt idx="0">
                  <c:v>4416</c:v>
                </c:pt>
                <c:pt idx="1">
                  <c:v>4416</c:v>
                </c:pt>
                <c:pt idx="2">
                  <c:v>4416</c:v>
                </c:pt>
                <c:pt idx="3">
                  <c:v>8556</c:v>
                </c:pt>
                <c:pt idx="4">
                  <c:v>8556</c:v>
                </c:pt>
                <c:pt idx="5">
                  <c:v>8556</c:v>
                </c:pt>
                <c:pt idx="6">
                  <c:v>8556</c:v>
                </c:pt>
                <c:pt idx="7">
                  <c:v>14076</c:v>
                </c:pt>
                <c:pt idx="8">
                  <c:v>17204</c:v>
                </c:pt>
                <c:pt idx="9">
                  <c:v>27692</c:v>
                </c:pt>
                <c:pt idx="10">
                  <c:v>39284</c:v>
                </c:pt>
                <c:pt idx="11">
                  <c:v>45540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A-DE40-AAC7-926595B685A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data'!$E$39:$P$39</c:f>
              <c:numCache>
                <c:formatCode>_ * #\ ##0_)\ "€"_ ;_ * \(#\ ##0\)\ "€"_ ;_ * "-"??_)\ "€"_ ;_ @_ </c:formatCode>
                <c:ptCount val="12"/>
                <c:pt idx="0">
                  <c:v>15000</c:v>
                </c:pt>
                <c:pt idx="1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A-DE40-AAC7-926595B68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5944255"/>
        <c:axId val="1996023279"/>
      </c:barChart>
      <c:dateAx>
        <c:axId val="199594425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6023279"/>
        <c:crosses val="autoZero"/>
        <c:auto val="1"/>
        <c:lblOffset val="100"/>
        <c:baseTimeUnit val="months"/>
      </c:dateAx>
      <c:valAx>
        <c:axId val="1996023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594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Revenues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data'!$E$41:$P$41</c:f>
              <c:numCache>
                <c:formatCode>_ * #\ ##0_)\ "€"_ ;_ * \(#\ ##0\)\ "€"_ ;_ * "-"??_)\ "€"_ ;_ @_ </c:formatCode>
                <c:ptCount val="12"/>
                <c:pt idx="0">
                  <c:v>1820</c:v>
                </c:pt>
                <c:pt idx="1">
                  <c:v>3640</c:v>
                </c:pt>
                <c:pt idx="2">
                  <c:v>5460</c:v>
                </c:pt>
                <c:pt idx="3">
                  <c:v>9100</c:v>
                </c:pt>
                <c:pt idx="4">
                  <c:v>12740</c:v>
                </c:pt>
                <c:pt idx="5">
                  <c:v>16380</c:v>
                </c:pt>
                <c:pt idx="6">
                  <c:v>20020</c:v>
                </c:pt>
                <c:pt idx="7">
                  <c:v>27300</c:v>
                </c:pt>
                <c:pt idx="8">
                  <c:v>35337.5</c:v>
                </c:pt>
                <c:pt idx="9">
                  <c:v>46840</c:v>
                </c:pt>
                <c:pt idx="10">
                  <c:v>61050</c:v>
                </c:pt>
                <c:pt idx="11">
                  <c:v>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D-644A-9A2A-F06168189D3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data'!$E$42:$P$42</c:f>
              <c:numCache>
                <c:formatCode>_ * #\ ##0_)\ "€"_ ;_ * \(#\ ##0\)\ "€"_ ;_ * "-"??_)\ "€"_ ;_ @_ </c:formatCode>
                <c:ptCount val="12"/>
                <c:pt idx="0">
                  <c:v>60000</c:v>
                </c:pt>
                <c:pt idx="1">
                  <c:v>3000</c:v>
                </c:pt>
                <c:pt idx="2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1D-644A-9A2A-F06168189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5123007"/>
        <c:axId val="1995144879"/>
      </c:lineChart>
      <c:dateAx>
        <c:axId val="199512300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5144879"/>
        <c:crosses val="autoZero"/>
        <c:auto val="1"/>
        <c:lblOffset val="100"/>
        <c:baseTimeUnit val="months"/>
      </c:dateAx>
      <c:valAx>
        <c:axId val="1995144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512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COGS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data'!$E$44:$P$44</c:f>
              <c:numCache>
                <c:formatCode>_ * #\ ##0_)\ "€"_ ;_ * \(#\ ##0\)\ "€"_ ;_ * "-"??_)\ "€"_ ;_ @_ </c:formatCode>
                <c:ptCount val="12"/>
                <c:pt idx="0">
                  <c:v>4771</c:v>
                </c:pt>
                <c:pt idx="1">
                  <c:v>4991.8</c:v>
                </c:pt>
                <c:pt idx="2">
                  <c:v>4991.8</c:v>
                </c:pt>
                <c:pt idx="3">
                  <c:v>9236.7999999999993</c:v>
                </c:pt>
                <c:pt idx="4">
                  <c:v>9443.7999999999993</c:v>
                </c:pt>
                <c:pt idx="5">
                  <c:v>9443.7999999999993</c:v>
                </c:pt>
                <c:pt idx="6">
                  <c:v>9443.7999999999993</c:v>
                </c:pt>
                <c:pt idx="7">
                  <c:v>15673.8</c:v>
                </c:pt>
                <c:pt idx="8">
                  <c:v>19777.8</c:v>
                </c:pt>
                <c:pt idx="9">
                  <c:v>32122.2</c:v>
                </c:pt>
                <c:pt idx="10">
                  <c:v>45788.6</c:v>
                </c:pt>
                <c:pt idx="11">
                  <c:v>54024.2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5-F541-846E-5F360C2F706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data'!$E$45:$P$45</c:f>
              <c:numCache>
                <c:formatCode>_ * #\ ##0_)\ "€"_ ;_ * \(#\ ##0\)\ "€"_ ;_ * "-"??_)\ "€"_ ;_ @_ </c:formatCode>
                <c:ptCount val="12"/>
                <c:pt idx="0">
                  <c:v>15400</c:v>
                </c:pt>
                <c:pt idx="1">
                  <c:v>15600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5-F541-846E-5F360C2F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7737087"/>
        <c:axId val="1993734783"/>
      </c:lineChart>
      <c:dateAx>
        <c:axId val="198773708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3734783"/>
        <c:crosses val="autoZero"/>
        <c:auto val="1"/>
        <c:lblOffset val="100"/>
        <c:baseTimeUnit val="months"/>
      </c:dateAx>
      <c:valAx>
        <c:axId val="199373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7737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Gross margin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data'!$E$47:$P$47</c:f>
              <c:numCache>
                <c:formatCode>_ * #\ ##0_)\ "€"_ ;_ * \(#\ ##0\)\ "€"_ ;_ * "-"??_)\ "€"_ ;_ @_ </c:formatCode>
                <c:ptCount val="12"/>
                <c:pt idx="0">
                  <c:v>-2951</c:v>
                </c:pt>
                <c:pt idx="1">
                  <c:v>-1351.8000000000002</c:v>
                </c:pt>
                <c:pt idx="2">
                  <c:v>468.19999999999982</c:v>
                </c:pt>
                <c:pt idx="3">
                  <c:v>-136.79999999999927</c:v>
                </c:pt>
                <c:pt idx="4">
                  <c:v>3296.2000000000007</c:v>
                </c:pt>
                <c:pt idx="5">
                  <c:v>6936.2000000000007</c:v>
                </c:pt>
                <c:pt idx="6">
                  <c:v>10576.2</c:v>
                </c:pt>
                <c:pt idx="7">
                  <c:v>11626.2</c:v>
                </c:pt>
                <c:pt idx="8">
                  <c:v>15559.7</c:v>
                </c:pt>
                <c:pt idx="9">
                  <c:v>14717.8</c:v>
                </c:pt>
                <c:pt idx="10">
                  <c:v>15261.400000000001</c:v>
                </c:pt>
                <c:pt idx="11">
                  <c:v>24700.800000000003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7-DE4D-B9F5-6BEF14E0D187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data'!$E$48:$P$48</c:f>
              <c:numCache>
                <c:formatCode>_ * #\ ##0_)\ "€"_ ;_ * \(#\ ##0\)\ "€"_ ;_ * "-"??_)\ "€"_ ;_ @_ </c:formatCode>
                <c:ptCount val="12"/>
                <c:pt idx="0">
                  <c:v>44600</c:v>
                </c:pt>
                <c:pt idx="1">
                  <c:v>-12600</c:v>
                </c:pt>
                <c:pt idx="2">
                  <c:v>3000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7-DE4D-B9F5-6BEF14E0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498367"/>
        <c:axId val="1988591935"/>
      </c:lineChart>
      <c:dateAx>
        <c:axId val="19914983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8591935"/>
        <c:crosses val="autoZero"/>
        <c:auto val="1"/>
        <c:lblOffset val="100"/>
        <c:baseTimeUnit val="months"/>
      </c:dateAx>
      <c:valAx>
        <c:axId val="1988591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1498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Total cumulated</a:t>
            </a:r>
            <a:r>
              <a:rPr lang="fr-FR" baseline="0"/>
              <a:t> revenues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data'!$E$185:$P$185</c:f>
              <c:numCache>
                <c:formatCode>_ * #\ ##0_)\ "€"_ ;_ * \(#\ ##0\)\ "€"_ ;_ * "-"??_)\ "€"_ ;_ @_ </c:formatCode>
                <c:ptCount val="12"/>
                <c:pt idx="0">
                  <c:v>1870.4</c:v>
                </c:pt>
                <c:pt idx="1">
                  <c:v>5611.2000000000007</c:v>
                </c:pt>
                <c:pt idx="2">
                  <c:v>11472.400000000001</c:v>
                </c:pt>
                <c:pt idx="3">
                  <c:v>21024</c:v>
                </c:pt>
                <c:pt idx="4">
                  <c:v>34266</c:v>
                </c:pt>
                <c:pt idx="5">
                  <c:v>51198.400000000001</c:v>
                </c:pt>
                <c:pt idx="6">
                  <c:v>71821.2</c:v>
                </c:pt>
                <c:pt idx="7">
                  <c:v>100275.2</c:v>
                </c:pt>
                <c:pt idx="8">
                  <c:v>137368.29999999999</c:v>
                </c:pt>
                <c:pt idx="9">
                  <c:v>186516.3</c:v>
                </c:pt>
                <c:pt idx="10">
                  <c:v>251177.5</c:v>
                </c:pt>
                <c:pt idx="11">
                  <c:v>354817.7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0-8340-860E-32B36D46F7D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data'!$E$186:$P$186</c:f>
              <c:numCache>
                <c:formatCode>_ * #\ ##0_)\ "€"_ ;_ * \(#\ ##0\)\ "€"_ ;_ * "-"??_)\ "€"_ ;_ @_ </c:formatCode>
                <c:ptCount val="12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20000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0-8340-860E-32B36D46F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86737023"/>
        <c:axId val="2022519871"/>
      </c:barChart>
      <c:dateAx>
        <c:axId val="198673702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519871"/>
        <c:crosses val="autoZero"/>
        <c:auto val="1"/>
        <c:lblOffset val="100"/>
        <c:baseTimeUnit val="months"/>
      </c:dateAx>
      <c:valAx>
        <c:axId val="202251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6737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Monthly</a:t>
            </a:r>
            <a:r>
              <a:rPr lang="fr-FR" baseline="0"/>
              <a:t> net revenues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data'!$E$182:$P$182</c:f>
              <c:numCache>
                <c:formatCode>_ * #\ ##0_)\ "€"_ ;_ * \(#\ ##0\)\ "€"_ ;_ * "-"??_)\ "€"_ ;_ @_ </c:formatCode>
                <c:ptCount val="12"/>
                <c:pt idx="0">
                  <c:v>1870.4</c:v>
                </c:pt>
                <c:pt idx="1">
                  <c:v>3740.8</c:v>
                </c:pt>
                <c:pt idx="2">
                  <c:v>5861.2</c:v>
                </c:pt>
                <c:pt idx="3">
                  <c:v>9551.6</c:v>
                </c:pt>
                <c:pt idx="4">
                  <c:v>13242</c:v>
                </c:pt>
                <c:pt idx="5">
                  <c:v>16932.400000000001</c:v>
                </c:pt>
                <c:pt idx="6">
                  <c:v>20622.8</c:v>
                </c:pt>
                <c:pt idx="7">
                  <c:v>28454</c:v>
                </c:pt>
                <c:pt idx="8">
                  <c:v>37093.1</c:v>
                </c:pt>
                <c:pt idx="9">
                  <c:v>49148</c:v>
                </c:pt>
                <c:pt idx="10">
                  <c:v>64661.2</c:v>
                </c:pt>
                <c:pt idx="11">
                  <c:v>103640.2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E-6F43-A47A-896F5A3F783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data'!$E$183:$P$183</c:f>
              <c:numCache>
                <c:formatCode>_ * #\ ##0_)\ "€"_ ;_ * \(#\ ##0\)\ "€"_ ;_ * "-"??_)\ "€"_ ;_ @_ </c:formatCode>
                <c:ptCount val="12"/>
                <c:pt idx="0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E-6F43-A47A-896F5A3F7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88855679"/>
        <c:axId val="1994241599"/>
      </c:barChart>
      <c:dateAx>
        <c:axId val="198885567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4241599"/>
        <c:crosses val="autoZero"/>
        <c:auto val="1"/>
        <c:lblOffset val="100"/>
        <c:baseTimeUnit val="months"/>
      </c:dateAx>
      <c:valAx>
        <c:axId val="199424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8855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# workers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data'!$E$3:$P$3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16</c:v>
                </c:pt>
                <c:pt idx="8">
                  <c:v>23</c:v>
                </c:pt>
                <c:pt idx="9">
                  <c:v>34</c:v>
                </c:pt>
                <c:pt idx="10">
                  <c:v>38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0-5948-9FE4-9FD7CB5A33B2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data'!$E$7:$P$7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0-5948-9FE4-9FD7CB5A3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35056"/>
        <c:axId val="213803328"/>
      </c:lineChart>
      <c:dateAx>
        <c:axId val="2617350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803328"/>
        <c:crosses val="autoZero"/>
        <c:auto val="1"/>
        <c:lblOffset val="100"/>
        <c:baseTimeUnit val="months"/>
      </c:dateAx>
      <c:valAx>
        <c:axId val="21380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173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#</a:t>
            </a:r>
            <a:r>
              <a:rPr lang="fr-FR" b="1" baseline="0"/>
              <a:t> full time employees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data'!$E$4:$P$4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12</c:v>
                </c:pt>
                <c:pt idx="8">
                  <c:v>17</c:v>
                </c:pt>
                <c:pt idx="9">
                  <c:v>24</c:v>
                </c:pt>
                <c:pt idx="10">
                  <c:v>28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0-FA42-95DF-7F9D35B1BBA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data'!$E$8:$P$8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0-FA42-95DF-7F9D35B1B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0152543"/>
        <c:axId val="2041973759"/>
      </c:barChart>
      <c:dateAx>
        <c:axId val="20601525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41973759"/>
        <c:crosses val="autoZero"/>
        <c:auto val="1"/>
        <c:lblOffset val="100"/>
        <c:baseTimeUnit val="months"/>
      </c:dateAx>
      <c:valAx>
        <c:axId val="2041973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60152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# Contractors / offshore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'Spending tracking data'!$D$6</c:f>
              <c:strCache>
                <c:ptCount val="1"/>
                <c:pt idx="0">
                  <c:v>Contractors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data'!$E$6:$P$6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6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8-AD4F-9D29-DA339A8D9ED8}"/>
            </c:ext>
          </c:extLst>
        </c:ser>
        <c:ser>
          <c:idx val="1"/>
          <c:order val="1"/>
          <c:tx>
            <c:strRef>
              <c:f>'Spending tracking data'!$D$10</c:f>
              <c:strCache>
                <c:ptCount val="1"/>
                <c:pt idx="0">
                  <c:v>Contractors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data'!$E$10:$P$10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948-AD4F-9D29-DA339A8D9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8207727"/>
        <c:axId val="2027016607"/>
      </c:barChart>
      <c:dateAx>
        <c:axId val="197820772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7016607"/>
        <c:crosses val="autoZero"/>
        <c:auto val="1"/>
        <c:lblOffset val="100"/>
        <c:baseTimeUnit val="months"/>
      </c:dateAx>
      <c:valAx>
        <c:axId val="2027016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78207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# workers delta</a:t>
            </a:r>
            <a:r>
              <a:rPr lang="fr-FR" b="1" baseline="0"/>
              <a:t> to plan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data'!$E$11:$P$11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-8</c:v>
                </c:pt>
                <c:pt idx="4">
                  <c:v>-8</c:v>
                </c:pt>
                <c:pt idx="5">
                  <c:v>-8</c:v>
                </c:pt>
                <c:pt idx="6">
                  <c:v>-8</c:v>
                </c:pt>
                <c:pt idx="7">
                  <c:v>-16</c:v>
                </c:pt>
                <c:pt idx="8">
                  <c:v>-23</c:v>
                </c:pt>
                <c:pt idx="9">
                  <c:v>-34</c:v>
                </c:pt>
                <c:pt idx="10">
                  <c:v>-38</c:v>
                </c:pt>
                <c:pt idx="11">
                  <c:v>-38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C-AC4A-9123-9D15E2F00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8759039"/>
        <c:axId val="2076070719"/>
      </c:barChart>
      <c:dateAx>
        <c:axId val="207875903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6070719"/>
        <c:crosses val="autoZero"/>
        <c:auto val="1"/>
        <c:lblOffset val="100"/>
        <c:baseTimeUnit val="months"/>
      </c:dateAx>
      <c:valAx>
        <c:axId val="2076070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8759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Cumulated WGF</a:t>
            </a:r>
            <a:r>
              <a:rPr lang="fr-FR" b="1" baseline="0"/>
              <a:t> users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data'!$E$6:$P$6</c:f>
              <c:numCache>
                <c:formatCode>0</c:formatCode>
                <c:ptCount val="12"/>
                <c:pt idx="0">
                  <c:v>195.97499999999999</c:v>
                </c:pt>
                <c:pt idx="1">
                  <c:v>451.71749999999997</c:v>
                </c:pt>
                <c:pt idx="2">
                  <c:v>746.94262499999991</c:v>
                </c:pt>
                <c:pt idx="3">
                  <c:v>1087.5727687499998</c:v>
                </c:pt>
                <c:pt idx="4">
                  <c:v>1480.4186840624998</c:v>
                </c:pt>
                <c:pt idx="5">
                  <c:v>1933.3127366718747</c:v>
                </c:pt>
                <c:pt idx="6">
                  <c:v>63927.76214717266</c:v>
                </c:pt>
                <c:pt idx="7">
                  <c:v>145199.95105258189</c:v>
                </c:pt>
                <c:pt idx="8">
                  <c:v>251230.54912713583</c:v>
                </c:pt>
                <c:pt idx="9">
                  <c:v>389615.58899620624</c:v>
                </c:pt>
                <c:pt idx="10">
                  <c:v>569962.99180397054</c:v>
                </c:pt>
                <c:pt idx="11">
                  <c:v>804747.62057873281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6-684A-A88B-24FF2809DC1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data'!$E$7:$P$7</c:f>
              <c:numCache>
                <c:formatCode>0</c:formatCode>
                <c:ptCount val="12"/>
                <c:pt idx="0">
                  <c:v>20000</c:v>
                </c:pt>
                <c:pt idx="1">
                  <c:v>40000</c:v>
                </c:pt>
                <c:pt idx="2">
                  <c:v>60000</c:v>
                </c:pt>
                <c:pt idx="3">
                  <c:v>70000</c:v>
                </c:pt>
                <c:pt idx="4">
                  <c:v>70000</c:v>
                </c:pt>
                <c:pt idx="5">
                  <c:v>70000</c:v>
                </c:pt>
                <c:pt idx="6">
                  <c:v>70000</c:v>
                </c:pt>
                <c:pt idx="7">
                  <c:v>70000</c:v>
                </c:pt>
                <c:pt idx="8">
                  <c:v>70000</c:v>
                </c:pt>
                <c:pt idx="9">
                  <c:v>70000</c:v>
                </c:pt>
                <c:pt idx="10">
                  <c:v>70000</c:v>
                </c:pt>
                <c:pt idx="11">
                  <c:v>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6-684A-A88B-24FF2809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717712"/>
        <c:axId val="1979831775"/>
      </c:lineChart>
      <c:dateAx>
        <c:axId val="306717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79831775"/>
        <c:crosses val="autoZero"/>
        <c:auto val="1"/>
        <c:lblOffset val="100"/>
        <c:baseTimeUnit val="months"/>
      </c:dateAx>
      <c:valAx>
        <c:axId val="1979831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671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cap="all" spc="0" baseline="0">
                <a:gradFill>
                  <a:gsLst>
                    <a:gs pos="0">
                      <a:schemeClr val="dk1">
                        <a:lumMod val="50000"/>
                        <a:lumOff val="50000"/>
                      </a:schemeClr>
                    </a:gs>
                    <a:gs pos="100000">
                      <a:schemeClr val="dk1">
                        <a:lumMod val="85000"/>
                        <a:lumOff val="15000"/>
                      </a:schemeClr>
                    </a:gs>
                  </a:gsLst>
                  <a:lin ang="5400000" scaled="0"/>
                </a:gradFill>
                <a:latin typeface="+mn-lt"/>
                <a:ea typeface="+mn-ea"/>
                <a:cs typeface="+mn-cs"/>
              </a:defRPr>
            </a:pPr>
            <a:r>
              <a:rPr lang="fr-FR" b="1"/>
              <a:t>Monthly wages per worker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cap="all" spc="0" baseline="0">
              <a:gradFill>
                <a:gsLst>
                  <a:gs pos="0">
                    <a:schemeClr val="dk1">
                      <a:lumMod val="50000"/>
                      <a:lumOff val="50000"/>
                    </a:schemeClr>
                  </a:gs>
                  <a:gs pos="100000">
                    <a:schemeClr val="dk1">
                      <a:lumMod val="85000"/>
                      <a:lumOff val="15000"/>
                    </a:schemeClr>
                  </a:gs>
                </a:gsLst>
                <a:lin ang="5400000" scaled="0"/>
              </a:gra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'Spending tracking data'!$F$18</c:f>
              <c:strCache>
                <c:ptCount val="1"/>
                <c:pt idx="0">
                  <c:v>Actual</c:v>
                </c:pt>
              </c:strCache>
            </c:strRef>
          </c:tx>
          <c:spPr>
            <a:ln w="19050" cap="rnd" cmpd="sng" algn="ctr">
              <a:solidFill>
                <a:schemeClr val="accent2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'Spending tracking data'!$D$19:$D$54</c:f>
              <c:strCache>
                <c:ptCount val="36"/>
                <c:pt idx="0">
                  <c:v>President</c:v>
                </c:pt>
                <c:pt idx="1">
                  <c:v>Managing Director</c:v>
                </c:pt>
                <c:pt idx="2">
                  <c:v>Event director</c:v>
                </c:pt>
                <c:pt idx="3">
                  <c:v>Event manager</c:v>
                </c:pt>
                <c:pt idx="4">
                  <c:v>CTO</c:v>
                </c:pt>
                <c:pt idx="5">
                  <c:v>Senior developer 1</c:v>
                </c:pt>
                <c:pt idx="6">
                  <c:v>Senior developer 2</c:v>
                </c:pt>
                <c:pt idx="7">
                  <c:v>Senior developer 3</c:v>
                </c:pt>
                <c:pt idx="8">
                  <c:v>UX designer</c:v>
                </c:pt>
                <c:pt idx="9">
                  <c:v>Product owner Playce</c:v>
                </c:pt>
                <c:pt idx="10">
                  <c:v>Product owner Player Tag</c:v>
                </c:pt>
                <c:pt idx="11">
                  <c:v>Senior software engineer 1</c:v>
                </c:pt>
                <c:pt idx="12">
                  <c:v>Confirmed software engineer</c:v>
                </c:pt>
                <c:pt idx="13">
                  <c:v>Offshore &gt; UI designer</c:v>
                </c:pt>
                <c:pt idx="14">
                  <c:v>Offshore &gt; Confirmed software engineer</c:v>
                </c:pt>
                <c:pt idx="15">
                  <c:v>Offshore &gt; Junior software engineer</c:v>
                </c:pt>
                <c:pt idx="16">
                  <c:v>Offshore &gt; Junior software engineer 2</c:v>
                </c:pt>
                <c:pt idx="17">
                  <c:v>Product owner Pro</c:v>
                </c:pt>
                <c:pt idx="18">
                  <c:v>Lead developer</c:v>
                </c:pt>
                <c:pt idx="19">
                  <c:v>Senior software engineer 2</c:v>
                </c:pt>
                <c:pt idx="20">
                  <c:v>Offshore &gt; UI designer 2</c:v>
                </c:pt>
                <c:pt idx="21">
                  <c:v>Offshore &gt; Confirmed software engineer 2</c:v>
                </c:pt>
                <c:pt idx="22">
                  <c:v>Offshore &gt; Junor software engineer 3</c:v>
                </c:pt>
                <c:pt idx="23">
                  <c:v>Offshore &gt; Junior software engineer 4</c:v>
                </c:pt>
                <c:pt idx="24">
                  <c:v>Offshore &gt; Junior software engineer 5</c:v>
                </c:pt>
                <c:pt idx="25">
                  <c:v>Offshore &gt; Junior software engineer 6</c:v>
                </c:pt>
                <c:pt idx="26">
                  <c:v>Sales Director</c:v>
                </c:pt>
                <c:pt idx="27">
                  <c:v>Senior account manager</c:v>
                </c:pt>
                <c:pt idx="28">
                  <c:v>Junior account manager</c:v>
                </c:pt>
                <c:pt idx="29">
                  <c:v>Junior account manager</c:v>
                </c:pt>
                <c:pt idx="30">
                  <c:v>Senior account manager</c:v>
                </c:pt>
                <c:pt idx="31">
                  <c:v>Junior account manager</c:v>
                </c:pt>
                <c:pt idx="32">
                  <c:v>Junior account manager</c:v>
                </c:pt>
                <c:pt idx="33">
                  <c:v>Junior account manager</c:v>
                </c:pt>
                <c:pt idx="34">
                  <c:v>Senior account manager</c:v>
                </c:pt>
                <c:pt idx="35">
                  <c:v>Junior account manager</c:v>
                </c:pt>
              </c:strCache>
            </c:strRef>
          </c:cat>
          <c:val>
            <c:numRef>
              <c:f>'Spending tracking data'!$F$19:$F$54</c:f>
              <c:numCache>
                <c:formatCode>_ * #\ ##0_)\ "€"_ ;_ * \(#\ ##0\)\ "€"_ ;_ * "-"??_)\ "€"_ ;_ @_ </c:formatCode>
                <c:ptCount val="36"/>
                <c:pt idx="0">
                  <c:v>10000</c:v>
                </c:pt>
                <c:pt idx="1">
                  <c:v>9000</c:v>
                </c:pt>
                <c:pt idx="2">
                  <c:v>8000</c:v>
                </c:pt>
                <c:pt idx="3">
                  <c:v>6000</c:v>
                </c:pt>
                <c:pt idx="4">
                  <c:v>8500</c:v>
                </c:pt>
                <c:pt idx="5">
                  <c:v>8300</c:v>
                </c:pt>
                <c:pt idx="6">
                  <c:v>7000</c:v>
                </c:pt>
                <c:pt idx="7">
                  <c:v>7000</c:v>
                </c:pt>
                <c:pt idx="28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8-8D4A-AE77-C07189A3A885}"/>
            </c:ext>
          </c:extLst>
        </c:ser>
        <c:ser>
          <c:idx val="0"/>
          <c:order val="1"/>
          <c:tx>
            <c:strRef>
              <c:f>'Spending tracking data'!$E$18</c:f>
              <c:strCache>
                <c:ptCount val="1"/>
                <c:pt idx="0">
                  <c:v>Plan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'Spending tracking data'!$D$19:$D$54</c:f>
              <c:strCache>
                <c:ptCount val="36"/>
                <c:pt idx="0">
                  <c:v>President</c:v>
                </c:pt>
                <c:pt idx="1">
                  <c:v>Managing Director</c:v>
                </c:pt>
                <c:pt idx="2">
                  <c:v>Event director</c:v>
                </c:pt>
                <c:pt idx="3">
                  <c:v>Event manager</c:v>
                </c:pt>
                <c:pt idx="4">
                  <c:v>CTO</c:v>
                </c:pt>
                <c:pt idx="5">
                  <c:v>Senior developer 1</c:v>
                </c:pt>
                <c:pt idx="6">
                  <c:v>Senior developer 2</c:v>
                </c:pt>
                <c:pt idx="7">
                  <c:v>Senior developer 3</c:v>
                </c:pt>
                <c:pt idx="8">
                  <c:v>UX designer</c:v>
                </c:pt>
                <c:pt idx="9">
                  <c:v>Product owner Playce</c:v>
                </c:pt>
                <c:pt idx="10">
                  <c:v>Product owner Player Tag</c:v>
                </c:pt>
                <c:pt idx="11">
                  <c:v>Senior software engineer 1</c:v>
                </c:pt>
                <c:pt idx="12">
                  <c:v>Confirmed software engineer</c:v>
                </c:pt>
                <c:pt idx="13">
                  <c:v>Offshore &gt; UI designer</c:v>
                </c:pt>
                <c:pt idx="14">
                  <c:v>Offshore &gt; Confirmed software engineer</c:v>
                </c:pt>
                <c:pt idx="15">
                  <c:v>Offshore &gt; Junior software engineer</c:v>
                </c:pt>
                <c:pt idx="16">
                  <c:v>Offshore &gt; Junior software engineer 2</c:v>
                </c:pt>
                <c:pt idx="17">
                  <c:v>Product owner Pro</c:v>
                </c:pt>
                <c:pt idx="18">
                  <c:v>Lead developer</c:v>
                </c:pt>
                <c:pt idx="19">
                  <c:v>Senior software engineer 2</c:v>
                </c:pt>
                <c:pt idx="20">
                  <c:v>Offshore &gt; UI designer 2</c:v>
                </c:pt>
                <c:pt idx="21">
                  <c:v>Offshore &gt; Confirmed software engineer 2</c:v>
                </c:pt>
                <c:pt idx="22">
                  <c:v>Offshore &gt; Junor software engineer 3</c:v>
                </c:pt>
                <c:pt idx="23">
                  <c:v>Offshore &gt; Junior software engineer 4</c:v>
                </c:pt>
                <c:pt idx="24">
                  <c:v>Offshore &gt; Junior software engineer 5</c:v>
                </c:pt>
                <c:pt idx="25">
                  <c:v>Offshore &gt; Junior software engineer 6</c:v>
                </c:pt>
                <c:pt idx="26">
                  <c:v>Sales Director</c:v>
                </c:pt>
                <c:pt idx="27">
                  <c:v>Senior account manager</c:v>
                </c:pt>
                <c:pt idx="28">
                  <c:v>Junior account manager</c:v>
                </c:pt>
                <c:pt idx="29">
                  <c:v>Junior account manager</c:v>
                </c:pt>
                <c:pt idx="30">
                  <c:v>Senior account manager</c:v>
                </c:pt>
                <c:pt idx="31">
                  <c:v>Junior account manager</c:v>
                </c:pt>
                <c:pt idx="32">
                  <c:v>Junior account manager</c:v>
                </c:pt>
                <c:pt idx="33">
                  <c:v>Junior account manager</c:v>
                </c:pt>
                <c:pt idx="34">
                  <c:v>Senior account manager</c:v>
                </c:pt>
                <c:pt idx="35">
                  <c:v>Junior account manager</c:v>
                </c:pt>
              </c:strCache>
            </c:strRef>
          </c:cat>
          <c:val>
            <c:numRef>
              <c:f>'Spending tracking data'!$E$19:$E$54</c:f>
              <c:numCache>
                <c:formatCode>_ * #\ ##0_)\ "€"_ ;_ * \(#\ ##0\)\ "€"_ ;_ * "-"??_)\ "€"_ ;_ @_ </c:formatCode>
                <c:ptCount val="36"/>
                <c:pt idx="0">
                  <c:v>8832</c:v>
                </c:pt>
                <c:pt idx="1">
                  <c:v>8280</c:v>
                </c:pt>
                <c:pt idx="2">
                  <c:v>6808</c:v>
                </c:pt>
                <c:pt idx="3">
                  <c:v>4232</c:v>
                </c:pt>
                <c:pt idx="4">
                  <c:v>7360</c:v>
                </c:pt>
                <c:pt idx="5">
                  <c:v>5152</c:v>
                </c:pt>
                <c:pt idx="6">
                  <c:v>4232</c:v>
                </c:pt>
                <c:pt idx="7">
                  <c:v>4232</c:v>
                </c:pt>
                <c:pt idx="8">
                  <c:v>3312</c:v>
                </c:pt>
                <c:pt idx="9">
                  <c:v>4232</c:v>
                </c:pt>
                <c:pt idx="10">
                  <c:v>7360</c:v>
                </c:pt>
                <c:pt idx="11">
                  <c:v>7360</c:v>
                </c:pt>
                <c:pt idx="12">
                  <c:v>5520</c:v>
                </c:pt>
                <c:pt idx="13">
                  <c:v>1380</c:v>
                </c:pt>
                <c:pt idx="14">
                  <c:v>1840</c:v>
                </c:pt>
                <c:pt idx="15">
                  <c:v>1380</c:v>
                </c:pt>
                <c:pt idx="16">
                  <c:v>1380</c:v>
                </c:pt>
                <c:pt idx="17">
                  <c:v>4048</c:v>
                </c:pt>
                <c:pt idx="18">
                  <c:v>4600</c:v>
                </c:pt>
                <c:pt idx="19">
                  <c:v>3680</c:v>
                </c:pt>
                <c:pt idx="20">
                  <c:v>1380</c:v>
                </c:pt>
                <c:pt idx="21">
                  <c:v>1840</c:v>
                </c:pt>
                <c:pt idx="22">
                  <c:v>1380</c:v>
                </c:pt>
                <c:pt idx="23">
                  <c:v>1380</c:v>
                </c:pt>
                <c:pt idx="24">
                  <c:v>1380</c:v>
                </c:pt>
                <c:pt idx="25">
                  <c:v>1380</c:v>
                </c:pt>
                <c:pt idx="26">
                  <c:v>5520</c:v>
                </c:pt>
                <c:pt idx="27">
                  <c:v>4232</c:v>
                </c:pt>
                <c:pt idx="28">
                  <c:v>3128</c:v>
                </c:pt>
                <c:pt idx="29">
                  <c:v>3128</c:v>
                </c:pt>
                <c:pt idx="30">
                  <c:v>4232</c:v>
                </c:pt>
                <c:pt idx="31">
                  <c:v>3128</c:v>
                </c:pt>
                <c:pt idx="32">
                  <c:v>3128</c:v>
                </c:pt>
                <c:pt idx="33">
                  <c:v>3128</c:v>
                </c:pt>
                <c:pt idx="34">
                  <c:v>4232</c:v>
                </c:pt>
                <c:pt idx="35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8-8D4A-AE77-C07189A3A885}"/>
            </c:ext>
          </c:extLst>
        </c:ser>
        <c:ser>
          <c:idx val="2"/>
          <c:order val="2"/>
          <c:tx>
            <c:strRef>
              <c:f>'Spending tracking data'!$G$18</c:f>
              <c:strCache>
                <c:ptCount val="1"/>
                <c:pt idx="0">
                  <c:v>Delta</c:v>
                </c:pt>
              </c:strCache>
            </c:strRef>
          </c:tx>
          <c:spPr>
            <a:ln w="19050" cap="rnd" cmpd="sng" algn="ctr">
              <a:solidFill>
                <a:schemeClr val="accent3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'Spending tracking data'!$D$19:$D$54</c:f>
              <c:strCache>
                <c:ptCount val="36"/>
                <c:pt idx="0">
                  <c:v>President</c:v>
                </c:pt>
                <c:pt idx="1">
                  <c:v>Managing Director</c:v>
                </c:pt>
                <c:pt idx="2">
                  <c:v>Event director</c:v>
                </c:pt>
                <c:pt idx="3">
                  <c:v>Event manager</c:v>
                </c:pt>
                <c:pt idx="4">
                  <c:v>CTO</c:v>
                </c:pt>
                <c:pt idx="5">
                  <c:v>Senior developer 1</c:v>
                </c:pt>
                <c:pt idx="6">
                  <c:v>Senior developer 2</c:v>
                </c:pt>
                <c:pt idx="7">
                  <c:v>Senior developer 3</c:v>
                </c:pt>
                <c:pt idx="8">
                  <c:v>UX designer</c:v>
                </c:pt>
                <c:pt idx="9">
                  <c:v>Product owner Playce</c:v>
                </c:pt>
                <c:pt idx="10">
                  <c:v>Product owner Player Tag</c:v>
                </c:pt>
                <c:pt idx="11">
                  <c:v>Senior software engineer 1</c:v>
                </c:pt>
                <c:pt idx="12">
                  <c:v>Confirmed software engineer</c:v>
                </c:pt>
                <c:pt idx="13">
                  <c:v>Offshore &gt; UI designer</c:v>
                </c:pt>
                <c:pt idx="14">
                  <c:v>Offshore &gt; Confirmed software engineer</c:v>
                </c:pt>
                <c:pt idx="15">
                  <c:v>Offshore &gt; Junior software engineer</c:v>
                </c:pt>
                <c:pt idx="16">
                  <c:v>Offshore &gt; Junior software engineer 2</c:v>
                </c:pt>
                <c:pt idx="17">
                  <c:v>Product owner Pro</c:v>
                </c:pt>
                <c:pt idx="18">
                  <c:v>Lead developer</c:v>
                </c:pt>
                <c:pt idx="19">
                  <c:v>Senior software engineer 2</c:v>
                </c:pt>
                <c:pt idx="20">
                  <c:v>Offshore &gt; UI designer 2</c:v>
                </c:pt>
                <c:pt idx="21">
                  <c:v>Offshore &gt; Confirmed software engineer 2</c:v>
                </c:pt>
                <c:pt idx="22">
                  <c:v>Offshore &gt; Junor software engineer 3</c:v>
                </c:pt>
                <c:pt idx="23">
                  <c:v>Offshore &gt; Junior software engineer 4</c:v>
                </c:pt>
                <c:pt idx="24">
                  <c:v>Offshore &gt; Junior software engineer 5</c:v>
                </c:pt>
                <c:pt idx="25">
                  <c:v>Offshore &gt; Junior software engineer 6</c:v>
                </c:pt>
                <c:pt idx="26">
                  <c:v>Sales Director</c:v>
                </c:pt>
                <c:pt idx="27">
                  <c:v>Senior account manager</c:v>
                </c:pt>
                <c:pt idx="28">
                  <c:v>Junior account manager</c:v>
                </c:pt>
                <c:pt idx="29">
                  <c:v>Junior account manager</c:v>
                </c:pt>
                <c:pt idx="30">
                  <c:v>Senior account manager</c:v>
                </c:pt>
                <c:pt idx="31">
                  <c:v>Junior account manager</c:v>
                </c:pt>
                <c:pt idx="32">
                  <c:v>Junior account manager</c:v>
                </c:pt>
                <c:pt idx="33">
                  <c:v>Junior account manager</c:v>
                </c:pt>
                <c:pt idx="34">
                  <c:v>Senior account manager</c:v>
                </c:pt>
                <c:pt idx="35">
                  <c:v>Junior account manager</c:v>
                </c:pt>
              </c:strCache>
            </c:strRef>
          </c:cat>
          <c:val>
            <c:numRef>
              <c:f>'Spending tracking data'!$G$19:$G$54</c:f>
              <c:numCache>
                <c:formatCode>_ * #\ ##0_)\ "€"_ ;_ * \(#\ ##0\)\ "€"_ ;_ * "-"??_)\ "€"_ ;_ @_ </c:formatCode>
                <c:ptCount val="36"/>
                <c:pt idx="0">
                  <c:v>-1168</c:v>
                </c:pt>
                <c:pt idx="1">
                  <c:v>-720</c:v>
                </c:pt>
                <c:pt idx="2">
                  <c:v>-1192</c:v>
                </c:pt>
                <c:pt idx="3">
                  <c:v>-1768</c:v>
                </c:pt>
                <c:pt idx="4">
                  <c:v>-1140</c:v>
                </c:pt>
                <c:pt idx="5">
                  <c:v>-3148</c:v>
                </c:pt>
                <c:pt idx="6">
                  <c:v>-2768</c:v>
                </c:pt>
                <c:pt idx="7">
                  <c:v>-2768</c:v>
                </c:pt>
                <c:pt idx="8">
                  <c:v>3312</c:v>
                </c:pt>
                <c:pt idx="9">
                  <c:v>4232</c:v>
                </c:pt>
                <c:pt idx="10">
                  <c:v>7360</c:v>
                </c:pt>
                <c:pt idx="11">
                  <c:v>7360</c:v>
                </c:pt>
                <c:pt idx="12">
                  <c:v>5520</c:v>
                </c:pt>
                <c:pt idx="13">
                  <c:v>1380</c:v>
                </c:pt>
                <c:pt idx="14">
                  <c:v>1840</c:v>
                </c:pt>
                <c:pt idx="15">
                  <c:v>1380</c:v>
                </c:pt>
                <c:pt idx="16">
                  <c:v>1380</c:v>
                </c:pt>
                <c:pt idx="17">
                  <c:v>4048</c:v>
                </c:pt>
                <c:pt idx="18">
                  <c:v>4600</c:v>
                </c:pt>
                <c:pt idx="19">
                  <c:v>3680</c:v>
                </c:pt>
                <c:pt idx="20">
                  <c:v>1380</c:v>
                </c:pt>
                <c:pt idx="21">
                  <c:v>1840</c:v>
                </c:pt>
                <c:pt idx="22">
                  <c:v>1380</c:v>
                </c:pt>
                <c:pt idx="23">
                  <c:v>1380</c:v>
                </c:pt>
                <c:pt idx="24">
                  <c:v>1380</c:v>
                </c:pt>
                <c:pt idx="25">
                  <c:v>1380</c:v>
                </c:pt>
                <c:pt idx="26">
                  <c:v>5520</c:v>
                </c:pt>
                <c:pt idx="27">
                  <c:v>4232</c:v>
                </c:pt>
                <c:pt idx="28">
                  <c:v>2128</c:v>
                </c:pt>
                <c:pt idx="29">
                  <c:v>3128</c:v>
                </c:pt>
                <c:pt idx="30">
                  <c:v>4232</c:v>
                </c:pt>
                <c:pt idx="31">
                  <c:v>3128</c:v>
                </c:pt>
                <c:pt idx="32">
                  <c:v>3128</c:v>
                </c:pt>
                <c:pt idx="33">
                  <c:v>3128</c:v>
                </c:pt>
                <c:pt idx="34">
                  <c:v>4232</c:v>
                </c:pt>
                <c:pt idx="35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28-8D4A-AE77-C07189A3A88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27907679"/>
        <c:axId val="278777184"/>
      </c:lineChart>
      <c:catAx>
        <c:axId val="2027907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8777184"/>
        <c:crosses val="autoZero"/>
        <c:auto val="1"/>
        <c:lblAlgn val="ctr"/>
        <c:lblOffset val="100"/>
        <c:noMultiLvlLbl val="0"/>
      </c:catAx>
      <c:valAx>
        <c:axId val="278777184"/>
        <c:scaling>
          <c:orientation val="minMax"/>
        </c:scaling>
        <c:delete val="0"/>
        <c:axPos val="l"/>
        <c:numFmt formatCode="_ * #\ ##0_)\ &quot;€&quot;_ ;_ * \(#\ ##0\)\ &quot;€&quot;_ ;_ * &quot;-&quot;??_)\ &quot;€&quot;_ ;_ @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7907679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Cost per entity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'Spending tracking data'!$E$55</c:f>
              <c:strCache>
                <c:ptCount val="1"/>
                <c:pt idx="0">
                  <c:v> Plan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'Spending tracking data'!$D$56:$D$60</c:f>
              <c:strCache>
                <c:ptCount val="5"/>
                <c:pt idx="0">
                  <c:v>Direction</c:v>
                </c:pt>
                <c:pt idx="1">
                  <c:v>Sales</c:v>
                </c:pt>
                <c:pt idx="2">
                  <c:v>Product Development</c:v>
                </c:pt>
                <c:pt idx="3">
                  <c:v>Marketing &amp; communication</c:v>
                </c:pt>
                <c:pt idx="4">
                  <c:v>UX UI Design</c:v>
                </c:pt>
              </c:strCache>
            </c:strRef>
          </c:cat>
          <c:val>
            <c:numRef>
              <c:f>'Spending tracking data'!$E$56:$E$60</c:f>
              <c:numCache>
                <c:formatCode>_ * #\ ##0_)\ "€"_ ;_ * \(#\ ##0\)\ "€"_ ;_ * "-"??_)\ "€"_ ;_ @_ </c:formatCode>
                <c:ptCount val="5"/>
                <c:pt idx="0">
                  <c:v>272480</c:v>
                </c:pt>
                <c:pt idx="1">
                  <c:v>167512</c:v>
                </c:pt>
                <c:pt idx="2">
                  <c:v>437696</c:v>
                </c:pt>
                <c:pt idx="3">
                  <c:v>25024</c:v>
                </c:pt>
                <c:pt idx="4">
                  <c:v>31536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1-2745-9C69-E32727FB0D0B}"/>
            </c:ext>
          </c:extLst>
        </c:ser>
        <c:ser>
          <c:idx val="1"/>
          <c:order val="1"/>
          <c:tx>
            <c:strRef>
              <c:f>'Spending tracking data'!$F$55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'Spending tracking data'!$D$56:$D$60</c:f>
              <c:strCache>
                <c:ptCount val="5"/>
                <c:pt idx="0">
                  <c:v>Direction</c:v>
                </c:pt>
                <c:pt idx="1">
                  <c:v>Sales</c:v>
                </c:pt>
                <c:pt idx="2">
                  <c:v>Product Development</c:v>
                </c:pt>
                <c:pt idx="3">
                  <c:v>Marketing &amp; communication</c:v>
                </c:pt>
                <c:pt idx="4">
                  <c:v>UX UI Design</c:v>
                </c:pt>
              </c:strCache>
            </c:strRef>
          </c:cat>
          <c:val>
            <c:numRef>
              <c:f>'Spending tracking data'!$F$56:$F$60</c:f>
              <c:numCache>
                <c:formatCode>_ * #\ ##0_)\ "€"_ ;_ * \(#\ ##0\)\ "€"_ ;_ * "-"??_)\ "€"_ ;_ @_ </c:formatCode>
                <c:ptCount val="5"/>
                <c:pt idx="0">
                  <c:v>27000</c:v>
                </c:pt>
                <c:pt idx="1">
                  <c:v>7000</c:v>
                </c:pt>
                <c:pt idx="2">
                  <c:v>30800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1-2745-9C69-E32727FB0D0B}"/>
            </c:ext>
          </c:extLst>
        </c:ser>
        <c:ser>
          <c:idx val="2"/>
          <c:order val="2"/>
          <c:tx>
            <c:strRef>
              <c:f>'Spending tracking data'!$G$55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'Spending tracking data'!$D$56:$D$60</c:f>
              <c:strCache>
                <c:ptCount val="5"/>
                <c:pt idx="0">
                  <c:v>Direction</c:v>
                </c:pt>
                <c:pt idx="1">
                  <c:v>Sales</c:v>
                </c:pt>
                <c:pt idx="2">
                  <c:v>Product Development</c:v>
                </c:pt>
                <c:pt idx="3">
                  <c:v>Marketing &amp; communication</c:v>
                </c:pt>
                <c:pt idx="4">
                  <c:v>UX UI Design</c:v>
                </c:pt>
              </c:strCache>
            </c:strRef>
          </c:cat>
          <c:val>
            <c:numRef>
              <c:f>'Spending tracking data'!$G$56:$G$60</c:f>
              <c:numCache>
                <c:formatCode>_ * #\ ##0_)\ "€"_ ;_ * \(#\ ##0\)\ "€"_ ;_ * "-"??_)\ "€"_ ;_ @_ </c:formatCode>
                <c:ptCount val="5"/>
                <c:pt idx="0">
                  <c:v>245480</c:v>
                </c:pt>
                <c:pt idx="1">
                  <c:v>160512</c:v>
                </c:pt>
                <c:pt idx="2">
                  <c:v>406896</c:v>
                </c:pt>
                <c:pt idx="3">
                  <c:v>25024</c:v>
                </c:pt>
                <c:pt idx="4">
                  <c:v>31536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1-2745-9C69-E32727FB0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84528879"/>
        <c:axId val="1983287327"/>
      </c:barChart>
      <c:catAx>
        <c:axId val="2084528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3287327"/>
        <c:crosses val="autoZero"/>
        <c:auto val="1"/>
        <c:lblAlgn val="ctr"/>
        <c:lblOffset val="100"/>
        <c:noMultiLvlLbl val="0"/>
      </c:catAx>
      <c:valAx>
        <c:axId val="1983287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4528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Total number of workers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data'!$D$62</c:f>
              <c:strCache>
                <c:ptCount val="1"/>
                <c:pt idx="0">
                  <c:v>Total number of workers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'Spending tracking data'!$E$61:$I$61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'Spending tracking data'!$E$62:$I$62</c:f>
              <c:numCache>
                <c:formatCode>0</c:formatCode>
                <c:ptCount val="5"/>
                <c:pt idx="0">
                  <c:v>17.083333333333332</c:v>
                </c:pt>
                <c:pt idx="1">
                  <c:v>71.041666666666671</c:v>
                </c:pt>
                <c:pt idx="2">
                  <c:v>104.72916666666667</c:v>
                </c:pt>
                <c:pt idx="3">
                  <c:v>122.22604166666666</c:v>
                </c:pt>
                <c:pt idx="4">
                  <c:v>145.12208333333331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C-5C4C-95BB-9F88C6296CDF}"/>
            </c:ext>
          </c:extLst>
        </c:ser>
        <c:ser>
          <c:idx val="1"/>
          <c:order val="1"/>
          <c:tx>
            <c:strRef>
              <c:f>'Spending tracking data'!$D$63</c:f>
              <c:strCache>
                <c:ptCount val="1"/>
                <c:pt idx="0">
                  <c:v>Total number of workers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'Spending tracking data'!$E$61:$I$61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'Spending tracking data'!$E$63:$I$63</c:f>
              <c:numCache>
                <c:formatCode>0</c:formatCode>
                <c:ptCount val="5"/>
                <c:pt idx="0">
                  <c:v>9</c:v>
                </c:pt>
                <c:pt idx="1">
                  <c:v>40.5</c:v>
                </c:pt>
                <c:pt idx="2">
                  <c:v>60.75</c:v>
                </c:pt>
                <c:pt idx="3">
                  <c:v>69.862499999999997</c:v>
                </c:pt>
                <c:pt idx="4">
                  <c:v>83.834999999999994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C-5C4C-95BB-9F88C6296CDF}"/>
            </c:ext>
          </c:extLst>
        </c:ser>
        <c:ser>
          <c:idx val="2"/>
          <c:order val="2"/>
          <c:tx>
            <c:strRef>
              <c:f>'Spending tracking data'!$D$64</c:f>
              <c:strCache>
                <c:ptCount val="1"/>
                <c:pt idx="0">
                  <c:v>Total number of workers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'Spending tracking data'!$E$61:$I$61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'Spending tracking data'!$E$64:$I$64</c:f>
              <c:numCache>
                <c:formatCode>0</c:formatCode>
                <c:ptCount val="5"/>
                <c:pt idx="0">
                  <c:v>-8.0833333333333321</c:v>
                </c:pt>
                <c:pt idx="1">
                  <c:v>-30.541666666666671</c:v>
                </c:pt>
                <c:pt idx="2">
                  <c:v>-43.979166666666671</c:v>
                </c:pt>
                <c:pt idx="3">
                  <c:v>-52.363541666666663</c:v>
                </c:pt>
                <c:pt idx="4">
                  <c:v>-61.287083333333314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C-5C4C-95BB-9F88C629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1057119"/>
        <c:axId val="2086745343"/>
      </c:lineChart>
      <c:catAx>
        <c:axId val="199105711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745343"/>
        <c:crosses val="autoZero"/>
        <c:auto val="1"/>
        <c:lblAlgn val="ctr"/>
        <c:lblOffset val="100"/>
        <c:noMultiLvlLbl val="0"/>
      </c:catAx>
      <c:valAx>
        <c:axId val="2086745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105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Turnover per worker and delta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'Spending tracking data'!$C$66:$D$66</c:f>
              <c:strCache>
                <c:ptCount val="2"/>
                <c:pt idx="0">
                  <c:v>Actual</c:v>
                </c:pt>
                <c:pt idx="1">
                  <c:v>Turnover per worker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'Spending tracking data'!$E$65:$I$65</c:f>
              <c:numCache>
                <c:formatCode>_ * #\ ##0_)\ "€"_ ;_ * \(#\ ##0\)\ "€"_ ;_ * "-"??_)\ "€"_ ;_ @_ </c:formatCode>
                <c:ptCount val="5"/>
                <c:pt idx="0">
                  <c:v>20769.816585365857</c:v>
                </c:pt>
                <c:pt idx="1">
                  <c:v>33135.230512741058</c:v>
                </c:pt>
                <c:pt idx="2">
                  <c:v>156380.40796381765</c:v>
                </c:pt>
                <c:pt idx="3">
                  <c:v>417855.26485482702</c:v>
                </c:pt>
                <c:pt idx="4">
                  <c:v>1192712.7270713979</c:v>
                </c:pt>
              </c:numCache>
            </c:numRef>
          </c:cat>
          <c:val>
            <c:numRef>
              <c:f>'Spending tracking data'!$E$66:$I$66</c:f>
              <c:numCache>
                <c:formatCode>_ * #\ ##0_)\ "€"_ ;_ * \(#\ ##0\)\ "€"_ ;_ * "-"??_)\ "€"_ ;_ @_ </c:formatCode>
                <c:ptCount val="5"/>
                <c:pt idx="0">
                  <c:v>2222.2222222222222</c:v>
                </c:pt>
                <c:pt idx="1">
                  <c:v>0</c:v>
                </c:pt>
                <c:pt idx="2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2-7541-A66F-32AD391C0348}"/>
            </c:ext>
          </c:extLst>
        </c:ser>
        <c:ser>
          <c:idx val="1"/>
          <c:order val="1"/>
          <c:tx>
            <c:strRef>
              <c:f>'Spending tracking data'!$C$67:$D$67</c:f>
              <c:strCache>
                <c:ptCount val="2"/>
                <c:pt idx="0">
                  <c:v>Delta</c:v>
                </c:pt>
                <c:pt idx="1">
                  <c:v>Turnover per worker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'Spending tracking data'!$E$65:$I$65</c:f>
              <c:numCache>
                <c:formatCode>_ * #\ ##0_)\ "€"_ ;_ * \(#\ ##0\)\ "€"_ ;_ * "-"??_)\ "€"_ ;_ @_ </c:formatCode>
                <c:ptCount val="5"/>
                <c:pt idx="0">
                  <c:v>20769.816585365857</c:v>
                </c:pt>
                <c:pt idx="1">
                  <c:v>33135.230512741058</c:v>
                </c:pt>
                <c:pt idx="2">
                  <c:v>156380.40796381765</c:v>
                </c:pt>
                <c:pt idx="3">
                  <c:v>417855.26485482702</c:v>
                </c:pt>
                <c:pt idx="4">
                  <c:v>1192712.7270713979</c:v>
                </c:pt>
              </c:numCache>
            </c:numRef>
          </c:cat>
          <c:val>
            <c:numRef>
              <c:f>'Spending tracking data'!$E$67:$I$67</c:f>
              <c:numCache>
                <c:formatCode>_ * #\ ##0_)\ "€"_ ;_ * \(#\ ##0\)\ "€"_ ;_ * "-"??_)\ "€"_ ;_ @_ </c:formatCode>
                <c:ptCount val="5"/>
                <c:pt idx="0">
                  <c:v>-18547.594363143635</c:v>
                </c:pt>
                <c:pt idx="1">
                  <c:v>-33135.230512741058</c:v>
                </c:pt>
                <c:pt idx="2">
                  <c:v>-156380.40796381765</c:v>
                </c:pt>
                <c:pt idx="3">
                  <c:v>-417855.26485482702</c:v>
                </c:pt>
                <c:pt idx="4">
                  <c:v>-1192712.7270713979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2-7541-A66F-32AD391C0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4973999"/>
        <c:axId val="2075554591"/>
      </c:barChart>
      <c:catAx>
        <c:axId val="2084973999"/>
        <c:scaling>
          <c:orientation val="minMax"/>
        </c:scaling>
        <c:delete val="0"/>
        <c:axPos val="b"/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5554591"/>
        <c:crosses val="autoZero"/>
        <c:auto val="1"/>
        <c:lblAlgn val="ctr"/>
        <c:lblOffset val="100"/>
        <c:noMultiLvlLbl val="0"/>
      </c:catAx>
      <c:valAx>
        <c:axId val="2075554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497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Advertising</a:t>
            </a:r>
            <a:r>
              <a:rPr lang="fr-FR" b="1" baseline="0"/>
              <a:t> &amp; promotion costs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data'!$C$80:$D$80</c:f>
              <c:strCache>
                <c:ptCount val="2"/>
                <c:pt idx="0">
                  <c:v>Plan</c:v>
                </c:pt>
                <c:pt idx="1">
                  <c:v>Advertising &amp; Promotion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data'!$E$80:$P$80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20000</c:v>
                </c:pt>
                <c:pt idx="7">
                  <c:v>26000</c:v>
                </c:pt>
                <c:pt idx="8">
                  <c:v>33800</c:v>
                </c:pt>
                <c:pt idx="9">
                  <c:v>43940</c:v>
                </c:pt>
                <c:pt idx="10">
                  <c:v>57122</c:v>
                </c:pt>
                <c:pt idx="11">
                  <c:v>74258.600000000006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8-F940-ADE8-F78C85B9A62B}"/>
            </c:ext>
          </c:extLst>
        </c:ser>
        <c:ser>
          <c:idx val="1"/>
          <c:order val="1"/>
          <c:tx>
            <c:strRef>
              <c:f>'Spending tracking data'!$C$81:$D$81</c:f>
              <c:strCache>
                <c:ptCount val="2"/>
                <c:pt idx="0">
                  <c:v>Actual</c:v>
                </c:pt>
                <c:pt idx="1">
                  <c:v>Advertising &amp; Promotion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data'!$E$81:$P$81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8-F940-ADE8-F78C85B9A62B}"/>
            </c:ext>
          </c:extLst>
        </c:ser>
        <c:ser>
          <c:idx val="2"/>
          <c:order val="2"/>
          <c:tx>
            <c:strRef>
              <c:f>'Spending tracking data'!$C$82:$D$82</c:f>
              <c:strCache>
                <c:ptCount val="2"/>
                <c:pt idx="0">
                  <c:v>Delta</c:v>
                </c:pt>
                <c:pt idx="1">
                  <c:v>Advertising &amp; Promotion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data'!$E$82:$P$82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20000</c:v>
                </c:pt>
                <c:pt idx="7">
                  <c:v>26000</c:v>
                </c:pt>
                <c:pt idx="8">
                  <c:v>33800</c:v>
                </c:pt>
                <c:pt idx="9">
                  <c:v>43940</c:v>
                </c:pt>
                <c:pt idx="10">
                  <c:v>57122</c:v>
                </c:pt>
                <c:pt idx="11">
                  <c:v>74258.600000000006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8-F940-ADE8-F78C85B9A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7626159"/>
        <c:axId val="2081225215"/>
      </c:lineChart>
      <c:dateAx>
        <c:axId val="207762615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1225215"/>
        <c:crosses val="autoZero"/>
        <c:auto val="1"/>
        <c:lblOffset val="100"/>
        <c:baseTimeUnit val="months"/>
      </c:dateAx>
      <c:valAx>
        <c:axId val="208122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7626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Depreciation &amp; amortization</a:t>
            </a:r>
            <a:r>
              <a:rPr lang="fr-FR" b="1" baseline="0"/>
              <a:t> costs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data'!$C$83:$D$83</c:f>
              <c:strCache>
                <c:ptCount val="2"/>
                <c:pt idx="0">
                  <c:v>Plan</c:v>
                </c:pt>
                <c:pt idx="1">
                  <c:v>Depreciation &amp; Amortization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data'!$E$83:$P$83</c:f>
              <c:numCache>
                <c:formatCode>_ * #\ ##0_)\ "€"_ ;_ * \(#\ ##0\)\ "€"_ ;_ * "-"??_)\ "€"_ ;_ @_ </c:formatCode>
                <c:ptCount val="12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625</c:v>
                </c:pt>
                <c:pt idx="4">
                  <c:v>625</c:v>
                </c:pt>
                <c:pt idx="5">
                  <c:v>625</c:v>
                </c:pt>
                <c:pt idx="6">
                  <c:v>625</c:v>
                </c:pt>
                <c:pt idx="7">
                  <c:v>625</c:v>
                </c:pt>
                <c:pt idx="8">
                  <c:v>625</c:v>
                </c:pt>
                <c:pt idx="9">
                  <c:v>625</c:v>
                </c:pt>
                <c:pt idx="10">
                  <c:v>625</c:v>
                </c:pt>
                <c:pt idx="11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1-1A42-BECD-C036FC6F52F7}"/>
            </c:ext>
          </c:extLst>
        </c:ser>
        <c:ser>
          <c:idx val="1"/>
          <c:order val="1"/>
          <c:tx>
            <c:strRef>
              <c:f>'Spending tracking data'!$C$84:$D$84</c:f>
              <c:strCache>
                <c:ptCount val="2"/>
                <c:pt idx="0">
                  <c:v>Actual</c:v>
                </c:pt>
                <c:pt idx="1">
                  <c:v>Depreciation &amp; Amortization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data'!$E$84:$P$84</c:f>
              <c:numCache>
                <c:formatCode>_ * #\ ##0_)\ "€"_ ;_ * \(#\ ##0\)\ "€"_ ;_ * "-"??_)\ "€"_ ;_ @_ </c:formatCode>
                <c:ptCount val="12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1-1A42-BECD-C036FC6F52F7}"/>
            </c:ext>
          </c:extLst>
        </c:ser>
        <c:ser>
          <c:idx val="2"/>
          <c:order val="2"/>
          <c:tx>
            <c:strRef>
              <c:f>'Spending tracking data'!$C$85:$D$85</c:f>
              <c:strCache>
                <c:ptCount val="2"/>
                <c:pt idx="0">
                  <c:v>Delta</c:v>
                </c:pt>
                <c:pt idx="1">
                  <c:v>Depreciation &amp; Amortization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data'!$E$85:$P$85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625</c:v>
                </c:pt>
                <c:pt idx="4">
                  <c:v>625</c:v>
                </c:pt>
                <c:pt idx="5">
                  <c:v>625</c:v>
                </c:pt>
                <c:pt idx="6">
                  <c:v>625</c:v>
                </c:pt>
                <c:pt idx="7">
                  <c:v>625</c:v>
                </c:pt>
                <c:pt idx="8">
                  <c:v>625</c:v>
                </c:pt>
                <c:pt idx="9">
                  <c:v>625</c:v>
                </c:pt>
                <c:pt idx="10">
                  <c:v>625</c:v>
                </c:pt>
                <c:pt idx="11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1-1A42-BECD-C036FC6F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959535"/>
        <c:axId val="2087254095"/>
      </c:lineChart>
      <c:dateAx>
        <c:axId val="208695953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7254095"/>
        <c:crosses val="autoZero"/>
        <c:auto val="1"/>
        <c:lblOffset val="100"/>
        <c:baseTimeUnit val="months"/>
      </c:dateAx>
      <c:valAx>
        <c:axId val="2087254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959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General &amp; administrative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data'!$C$86:$D$86</c:f>
              <c:strCache>
                <c:ptCount val="2"/>
                <c:pt idx="0">
                  <c:v>Plan</c:v>
                </c:pt>
                <c:pt idx="1">
                  <c:v>General &amp; Administrative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data'!$E$86:$P$86</c:f>
              <c:numCache>
                <c:formatCode>_ * #\ ##0_)\ "€"_ ;_ * \(#\ ##0\)\ "€"_ ;_ * "-"??_)\ "€"_ ;_ @_ 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1030</c:v>
                </c:pt>
                <c:pt idx="4">
                  <c:v>1060.9000000000001</c:v>
                </c:pt>
                <c:pt idx="5">
                  <c:v>1092.7270000000001</c:v>
                </c:pt>
                <c:pt idx="6">
                  <c:v>1125.50881</c:v>
                </c:pt>
                <c:pt idx="7">
                  <c:v>1159.2740743000002</c:v>
                </c:pt>
                <c:pt idx="8">
                  <c:v>1194.0522965290002</c:v>
                </c:pt>
                <c:pt idx="9">
                  <c:v>1229.8738654248702</c:v>
                </c:pt>
                <c:pt idx="10">
                  <c:v>1266.7700813876163</c:v>
                </c:pt>
                <c:pt idx="11">
                  <c:v>1304.7731838292448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8-1441-B8EE-12AE4B0874BF}"/>
            </c:ext>
          </c:extLst>
        </c:ser>
        <c:ser>
          <c:idx val="1"/>
          <c:order val="1"/>
          <c:tx>
            <c:strRef>
              <c:f>'Spending tracking data'!$C$87:$D$87</c:f>
              <c:strCache>
                <c:ptCount val="2"/>
                <c:pt idx="0">
                  <c:v>Actual</c:v>
                </c:pt>
                <c:pt idx="1">
                  <c:v>General &amp; Administrative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data'!$E$87:$P$87</c:f>
              <c:numCache>
                <c:formatCode>_ * #\ ##0_)\ "€"_ ;_ * \(#\ ##0\)\ "€"_ ;_ * "-"??_)\ "€"_ ;_ @_ </c:formatCode>
                <c:ptCount val="12"/>
                <c:pt idx="0">
                  <c:v>300</c:v>
                </c:pt>
                <c:pt idx="1">
                  <c:v>300</c:v>
                </c:pt>
                <c:pt idx="2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8-1441-B8EE-12AE4B0874BF}"/>
            </c:ext>
          </c:extLst>
        </c:ser>
        <c:ser>
          <c:idx val="2"/>
          <c:order val="2"/>
          <c:tx>
            <c:strRef>
              <c:f>'Spending tracking data'!$C$88:$D$88</c:f>
              <c:strCache>
                <c:ptCount val="2"/>
                <c:pt idx="0">
                  <c:v>Delta</c:v>
                </c:pt>
                <c:pt idx="1">
                  <c:v>General &amp; Administrative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data'!$E$88:$P$88</c:f>
              <c:numCache>
                <c:formatCode>_ * #\ ##0_)\ "€"_ ;_ * \(#\ ##0\)\ "€"_ ;_ * "-"??_)\ "€"_ ;_ @_ </c:formatCode>
                <c:ptCount val="12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1030</c:v>
                </c:pt>
                <c:pt idx="4">
                  <c:v>1060.9000000000001</c:v>
                </c:pt>
                <c:pt idx="5">
                  <c:v>1092.7270000000001</c:v>
                </c:pt>
                <c:pt idx="6">
                  <c:v>1125.50881</c:v>
                </c:pt>
                <c:pt idx="7">
                  <c:v>1159.2740743000002</c:v>
                </c:pt>
                <c:pt idx="8">
                  <c:v>1194.0522965290002</c:v>
                </c:pt>
                <c:pt idx="9">
                  <c:v>1229.8738654248702</c:v>
                </c:pt>
                <c:pt idx="10">
                  <c:v>1266.7700813876163</c:v>
                </c:pt>
                <c:pt idx="11">
                  <c:v>1304.7731838292448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48-1441-B8EE-12AE4B087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8602383"/>
        <c:axId val="2084737407"/>
      </c:lineChart>
      <c:dateAx>
        <c:axId val="20786023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4737407"/>
        <c:crosses val="autoZero"/>
        <c:auto val="1"/>
        <c:lblOffset val="100"/>
        <c:baseTimeUnit val="months"/>
      </c:dateAx>
      <c:valAx>
        <c:axId val="2084737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8602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Insurance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data'!$C$89:$D$89</c:f>
              <c:strCache>
                <c:ptCount val="2"/>
                <c:pt idx="0">
                  <c:v>Plan</c:v>
                </c:pt>
                <c:pt idx="1">
                  <c:v>Insurance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data'!$E$89:$P$89</c:f>
              <c:numCache>
                <c:formatCode>_ * #\ ##0_)\ "€"_ ;_ * \(#\ ##0\)\ "€"_ ;_ * "-"??_)\ "€"_ ;_ @_ </c:formatCode>
                <c:ptCount val="12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510</c:v>
                </c:pt>
                <c:pt idx="4">
                  <c:v>520.20000000000005</c:v>
                </c:pt>
                <c:pt idx="5">
                  <c:v>530.60400000000004</c:v>
                </c:pt>
                <c:pt idx="6">
                  <c:v>541.21608000000003</c:v>
                </c:pt>
                <c:pt idx="7">
                  <c:v>552.0404016</c:v>
                </c:pt>
                <c:pt idx="8">
                  <c:v>563.08120963199997</c:v>
                </c:pt>
                <c:pt idx="9">
                  <c:v>574.34283382464002</c:v>
                </c:pt>
                <c:pt idx="10">
                  <c:v>585.82969050113286</c:v>
                </c:pt>
                <c:pt idx="11">
                  <c:v>597.54628431115555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6-1C4D-8DB0-5586CBF22C3B}"/>
            </c:ext>
          </c:extLst>
        </c:ser>
        <c:ser>
          <c:idx val="1"/>
          <c:order val="1"/>
          <c:tx>
            <c:strRef>
              <c:f>'Spending tracking data'!$C$90:$D$90</c:f>
              <c:strCache>
                <c:ptCount val="2"/>
                <c:pt idx="0">
                  <c:v>Actual</c:v>
                </c:pt>
                <c:pt idx="1">
                  <c:v>Insurance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data'!$E$90:$P$90</c:f>
              <c:numCache>
                <c:formatCode>_ * #\ ##0_)\ "€"_ ;_ * \(#\ ##0\)\ "€"_ ;_ * "-"??_)\ "€"_ ;_ @_ 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6-1C4D-8DB0-5586CBF22C3B}"/>
            </c:ext>
          </c:extLst>
        </c:ser>
        <c:ser>
          <c:idx val="2"/>
          <c:order val="2"/>
          <c:tx>
            <c:strRef>
              <c:f>'Spending tracking data'!$C$91:$D$91</c:f>
              <c:strCache>
                <c:ptCount val="2"/>
                <c:pt idx="0">
                  <c:v>Delta</c:v>
                </c:pt>
                <c:pt idx="1">
                  <c:v>Insurance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data'!$E$91:$P$91</c:f>
              <c:numCache>
                <c:formatCode>_ * #\ ##0_)\ "€"_ ;_ * \(#\ ##0\)\ "€"_ ;_ * "-"??_)\ "€"_ ;_ @_ </c:formatCode>
                <c:ptCount val="12"/>
                <c:pt idx="0">
                  <c:v>-500</c:v>
                </c:pt>
                <c:pt idx="1">
                  <c:v>-500</c:v>
                </c:pt>
                <c:pt idx="2">
                  <c:v>-500</c:v>
                </c:pt>
                <c:pt idx="3">
                  <c:v>510</c:v>
                </c:pt>
                <c:pt idx="4">
                  <c:v>520.20000000000005</c:v>
                </c:pt>
                <c:pt idx="5">
                  <c:v>530.60400000000004</c:v>
                </c:pt>
                <c:pt idx="6">
                  <c:v>541.21608000000003</c:v>
                </c:pt>
                <c:pt idx="7">
                  <c:v>552.0404016</c:v>
                </c:pt>
                <c:pt idx="8">
                  <c:v>563.08120963199997</c:v>
                </c:pt>
                <c:pt idx="9">
                  <c:v>574.34283382464002</c:v>
                </c:pt>
                <c:pt idx="10">
                  <c:v>585.82969050113286</c:v>
                </c:pt>
                <c:pt idx="11">
                  <c:v>597.54628431115555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6-1C4D-8DB0-5586CBF22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845743"/>
        <c:axId val="2083775951"/>
      </c:lineChart>
      <c:dateAx>
        <c:axId val="20748457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3775951"/>
        <c:crosses val="autoZero"/>
        <c:auto val="1"/>
        <c:lblOffset val="100"/>
        <c:baseTimeUnit val="months"/>
      </c:dateAx>
      <c:valAx>
        <c:axId val="208377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4845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Marketing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data'!$C$92:$D$92</c:f>
              <c:strCache>
                <c:ptCount val="2"/>
                <c:pt idx="0">
                  <c:v>Plan</c:v>
                </c:pt>
                <c:pt idx="1">
                  <c:v>Marketing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data'!$E$92:$P$92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50000</c:v>
                </c:pt>
                <c:pt idx="7">
                  <c:v>51500</c:v>
                </c:pt>
                <c:pt idx="8">
                  <c:v>53045</c:v>
                </c:pt>
                <c:pt idx="9">
                  <c:v>54636.35</c:v>
                </c:pt>
                <c:pt idx="10">
                  <c:v>56275.440499999997</c:v>
                </c:pt>
                <c:pt idx="11">
                  <c:v>57963.703714999996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C-924F-B1E3-15411F64B890}"/>
            </c:ext>
          </c:extLst>
        </c:ser>
        <c:ser>
          <c:idx val="1"/>
          <c:order val="1"/>
          <c:tx>
            <c:strRef>
              <c:f>'Spending tracking data'!$C$93:$D$93</c:f>
              <c:strCache>
                <c:ptCount val="2"/>
                <c:pt idx="0">
                  <c:v>Actual</c:v>
                </c:pt>
                <c:pt idx="1">
                  <c:v>Marketing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data'!$E$93:$P$93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C-924F-B1E3-15411F64B890}"/>
            </c:ext>
          </c:extLst>
        </c:ser>
        <c:ser>
          <c:idx val="2"/>
          <c:order val="2"/>
          <c:tx>
            <c:strRef>
              <c:f>'Spending tracking data'!$C$94:$D$94</c:f>
              <c:strCache>
                <c:ptCount val="2"/>
                <c:pt idx="0">
                  <c:v>Delta</c:v>
                </c:pt>
                <c:pt idx="1">
                  <c:v>Marketing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data'!$E$94:$P$94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-5000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50000</c:v>
                </c:pt>
                <c:pt idx="7">
                  <c:v>51500</c:v>
                </c:pt>
                <c:pt idx="8">
                  <c:v>53045</c:v>
                </c:pt>
                <c:pt idx="9">
                  <c:v>54636.35</c:v>
                </c:pt>
                <c:pt idx="10">
                  <c:v>56275.440499999997</c:v>
                </c:pt>
                <c:pt idx="11">
                  <c:v>57963.703714999996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2C-924F-B1E3-15411F64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8483023"/>
        <c:axId val="2075357807"/>
      </c:lineChart>
      <c:dateAx>
        <c:axId val="207848302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5357807"/>
        <c:crosses val="autoZero"/>
        <c:auto val="1"/>
        <c:lblOffset val="100"/>
        <c:baseTimeUnit val="months"/>
      </c:dateAx>
      <c:valAx>
        <c:axId val="2075357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8483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Maintenance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data'!$C$95:$D$95</c:f>
              <c:strCache>
                <c:ptCount val="2"/>
                <c:pt idx="0">
                  <c:v>Plan</c:v>
                </c:pt>
                <c:pt idx="1">
                  <c:v>Maintenance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data'!$E$95:$P$95</c:f>
              <c:numCache>
                <c:formatCode>_ * #\ ##0_)\ "€"_ ;_ * \(#\ ##0\)\ "€"_ ;_ * "-"??_)\ "€"_ ;_ @_ </c:formatCode>
                <c:ptCount val="12"/>
                <c:pt idx="0">
                  <c:v>150</c:v>
                </c:pt>
                <c:pt idx="1">
                  <c:v>153</c:v>
                </c:pt>
                <c:pt idx="2">
                  <c:v>156.06</c:v>
                </c:pt>
                <c:pt idx="3">
                  <c:v>159.18120000000002</c:v>
                </c:pt>
                <c:pt idx="4">
                  <c:v>162.36482400000003</c:v>
                </c:pt>
                <c:pt idx="5">
                  <c:v>165.61212048000004</c:v>
                </c:pt>
                <c:pt idx="6">
                  <c:v>168.92436288960005</c:v>
                </c:pt>
                <c:pt idx="7">
                  <c:v>172.30285014739206</c:v>
                </c:pt>
                <c:pt idx="8">
                  <c:v>175.7489071503399</c:v>
                </c:pt>
                <c:pt idx="9">
                  <c:v>179.2638852933467</c:v>
                </c:pt>
                <c:pt idx="10">
                  <c:v>182.84916299921363</c:v>
                </c:pt>
                <c:pt idx="11">
                  <c:v>186.50614625919792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0-F443-AC5A-2048C3A7A9E2}"/>
            </c:ext>
          </c:extLst>
        </c:ser>
        <c:ser>
          <c:idx val="1"/>
          <c:order val="1"/>
          <c:tx>
            <c:strRef>
              <c:f>'Spending tracking data'!$C$96:$D$96</c:f>
              <c:strCache>
                <c:ptCount val="2"/>
                <c:pt idx="0">
                  <c:v>Actual</c:v>
                </c:pt>
                <c:pt idx="1">
                  <c:v>Maintenance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data'!$E$96:$P$96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0-F443-AC5A-2048C3A7A9E2}"/>
            </c:ext>
          </c:extLst>
        </c:ser>
        <c:ser>
          <c:idx val="2"/>
          <c:order val="2"/>
          <c:tx>
            <c:strRef>
              <c:f>'Spending tracking data'!$C$97:$D$97</c:f>
              <c:strCache>
                <c:ptCount val="2"/>
                <c:pt idx="0">
                  <c:v>Delta</c:v>
                </c:pt>
                <c:pt idx="1">
                  <c:v>Maintenance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data'!$E$97:$P$97</c:f>
              <c:numCache>
                <c:formatCode>_ * #\ ##0_)\ "€"_ ;_ * \(#\ ##0\)\ "€"_ ;_ * "-"??_)\ "€"_ ;_ @_ </c:formatCode>
                <c:ptCount val="12"/>
                <c:pt idx="0">
                  <c:v>150</c:v>
                </c:pt>
                <c:pt idx="1">
                  <c:v>153</c:v>
                </c:pt>
                <c:pt idx="2">
                  <c:v>156.06</c:v>
                </c:pt>
                <c:pt idx="3">
                  <c:v>159.18120000000002</c:v>
                </c:pt>
                <c:pt idx="4">
                  <c:v>162.36482400000003</c:v>
                </c:pt>
                <c:pt idx="5">
                  <c:v>165.61212048000004</c:v>
                </c:pt>
                <c:pt idx="6">
                  <c:v>168.92436288960005</c:v>
                </c:pt>
                <c:pt idx="7">
                  <c:v>172.30285014739206</c:v>
                </c:pt>
                <c:pt idx="8">
                  <c:v>175.7489071503399</c:v>
                </c:pt>
                <c:pt idx="9">
                  <c:v>179.2638852933467</c:v>
                </c:pt>
                <c:pt idx="10">
                  <c:v>182.84916299921363</c:v>
                </c:pt>
                <c:pt idx="11">
                  <c:v>186.50614625919792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0-F443-AC5A-2048C3A7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7068367"/>
        <c:axId val="2073007007"/>
      </c:lineChart>
      <c:dateAx>
        <c:axId val="20770683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3007007"/>
        <c:crosses val="autoZero"/>
        <c:auto val="1"/>
        <c:lblOffset val="100"/>
        <c:baseTimeUnit val="months"/>
      </c:dateAx>
      <c:valAx>
        <c:axId val="2073007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7068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Monthly users delta to plan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C6-284D-822D-D4D91BF6EB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data'!$E$5:$P$5</c:f>
              <c:numCache>
                <c:formatCode>0%</c:formatCode>
                <c:ptCount val="12"/>
                <c:pt idx="0">
                  <c:v>101.05383339711699</c:v>
                </c:pt>
                <c:pt idx="1">
                  <c:v>77.203661886467827</c:v>
                </c:pt>
                <c:pt idx="2">
                  <c:v>66.74491161617766</c:v>
                </c:pt>
                <c:pt idx="3">
                  <c:v>28.357354842146144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6-284D-822D-D4D91BF6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4"/>
        <c:axId val="303388432"/>
        <c:axId val="1980705391"/>
      </c:barChart>
      <c:dateAx>
        <c:axId val="3033884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0705391"/>
        <c:crosses val="autoZero"/>
        <c:auto val="1"/>
        <c:lblOffset val="100"/>
        <c:baseTimeUnit val="months"/>
      </c:dateAx>
      <c:valAx>
        <c:axId val="1980705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338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Office rent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data'!$C$98:$D$98</c:f>
              <c:strCache>
                <c:ptCount val="2"/>
                <c:pt idx="0">
                  <c:v>Plan</c:v>
                </c:pt>
                <c:pt idx="1">
                  <c:v>Office Rent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data'!$E$98:$P$98</c:f>
              <c:numCache>
                <c:formatCode>_ * #\ ##0_)\ "€"_ ;_ * \(#\ ##0\)\ "€"_ ;_ * "-"??_)\ "€"_ ;_ @_ </c:formatCode>
                <c:ptCount val="12"/>
                <c:pt idx="0">
                  <c:v>10600</c:v>
                </c:pt>
                <c:pt idx="1">
                  <c:v>10812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30000</c:v>
                </c:pt>
                <c:pt idx="6">
                  <c:v>10000</c:v>
                </c:pt>
                <c:pt idx="7">
                  <c:v>10200</c:v>
                </c:pt>
                <c:pt idx="8">
                  <c:v>10404</c:v>
                </c:pt>
                <c:pt idx="9">
                  <c:v>10612.08</c:v>
                </c:pt>
                <c:pt idx="10">
                  <c:v>10824.321599999999</c:v>
                </c:pt>
                <c:pt idx="11">
                  <c:v>11040.808031999999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4-B942-AF28-6DCB0B239520}"/>
            </c:ext>
          </c:extLst>
        </c:ser>
        <c:ser>
          <c:idx val="1"/>
          <c:order val="1"/>
          <c:tx>
            <c:strRef>
              <c:f>'Spending tracking data'!$C$99:$D$99</c:f>
              <c:strCache>
                <c:ptCount val="2"/>
                <c:pt idx="0">
                  <c:v>Actual</c:v>
                </c:pt>
                <c:pt idx="1">
                  <c:v>Office Rent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data'!$E$99:$P$99</c:f>
              <c:numCache>
                <c:formatCode>_ * #\ ##0_)\ "€"_ ;_ * \(#\ ##0\)\ "€"_ ;_ * "-"??_)\ "€"_ ;_ @_ </c:formatCode>
                <c:ptCount val="12"/>
                <c:pt idx="0">
                  <c:v>11000</c:v>
                </c:pt>
                <c:pt idx="1">
                  <c:v>10500</c:v>
                </c:pt>
                <c:pt idx="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4-B942-AF28-6DCB0B239520}"/>
            </c:ext>
          </c:extLst>
        </c:ser>
        <c:ser>
          <c:idx val="2"/>
          <c:order val="2"/>
          <c:tx>
            <c:strRef>
              <c:f>'Spending tracking data'!$C$100:$D$100</c:f>
              <c:strCache>
                <c:ptCount val="2"/>
                <c:pt idx="0">
                  <c:v>Delta</c:v>
                </c:pt>
                <c:pt idx="1">
                  <c:v>Office Rent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data'!$E$100:$P$100</c:f>
              <c:numCache>
                <c:formatCode>_ * #\ ##0_)\ "€"_ ;_ * \(#\ ##0\)\ "€"_ ;_ * "-"??_)\ "€"_ ;_ @_ </c:formatCode>
                <c:ptCount val="12"/>
                <c:pt idx="0">
                  <c:v>-400</c:v>
                </c:pt>
                <c:pt idx="1">
                  <c:v>312</c:v>
                </c:pt>
                <c:pt idx="2">
                  <c:v>-10000</c:v>
                </c:pt>
                <c:pt idx="3">
                  <c:v>0</c:v>
                </c:pt>
                <c:pt idx="4">
                  <c:v>0</c:v>
                </c:pt>
                <c:pt idx="5">
                  <c:v>30000</c:v>
                </c:pt>
                <c:pt idx="6">
                  <c:v>10000</c:v>
                </c:pt>
                <c:pt idx="7">
                  <c:v>10200</c:v>
                </c:pt>
                <c:pt idx="8">
                  <c:v>10404</c:v>
                </c:pt>
                <c:pt idx="9">
                  <c:v>10612.08</c:v>
                </c:pt>
                <c:pt idx="10">
                  <c:v>10824.321599999999</c:v>
                </c:pt>
                <c:pt idx="11">
                  <c:v>11040.808031999999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4-B942-AF28-6DCB0B23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672751"/>
        <c:axId val="2079955631"/>
      </c:lineChart>
      <c:dateAx>
        <c:axId val="208667275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9955631"/>
        <c:crosses val="autoZero"/>
        <c:auto val="1"/>
        <c:lblOffset val="100"/>
        <c:baseTimeUnit val="months"/>
      </c:dateAx>
      <c:valAx>
        <c:axId val="2079955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672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Professional fees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data'!$C$101:$D$101</c:f>
              <c:strCache>
                <c:ptCount val="2"/>
                <c:pt idx="0">
                  <c:v>Plan</c:v>
                </c:pt>
                <c:pt idx="1">
                  <c:v>Professional Fees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data'!$E$101:$P$101</c:f>
              <c:numCache>
                <c:formatCode>_ * #\ ##0_)\ "€"_ ;_ * \(#\ ##0\)\ "€"_ ;_ * "-"??_)\ "€"_ ;_ @_ </c:formatCode>
                <c:ptCount val="12"/>
                <c:pt idx="0">
                  <c:v>6800</c:v>
                </c:pt>
                <c:pt idx="1">
                  <c:v>6800</c:v>
                </c:pt>
                <c:pt idx="2">
                  <c:v>31800</c:v>
                </c:pt>
                <c:pt idx="3">
                  <c:v>0</c:v>
                </c:pt>
                <c:pt idx="4">
                  <c:v>0</c:v>
                </c:pt>
                <c:pt idx="5">
                  <c:v>23909.638999999999</c:v>
                </c:pt>
                <c:pt idx="6">
                  <c:v>24148.735389999998</c:v>
                </c:pt>
                <c:pt idx="7">
                  <c:v>24390.222743899998</c:v>
                </c:pt>
                <c:pt idx="8">
                  <c:v>24634.124971338999</c:v>
                </c:pt>
                <c:pt idx="9">
                  <c:v>24880.466221052389</c:v>
                </c:pt>
                <c:pt idx="10">
                  <c:v>25129.270883262914</c:v>
                </c:pt>
                <c:pt idx="11">
                  <c:v>25380.563592095543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C-474D-8687-6C11990D907F}"/>
            </c:ext>
          </c:extLst>
        </c:ser>
        <c:ser>
          <c:idx val="1"/>
          <c:order val="1"/>
          <c:tx>
            <c:strRef>
              <c:f>'Spending tracking data'!$C$102:$D$102</c:f>
              <c:strCache>
                <c:ptCount val="2"/>
                <c:pt idx="0">
                  <c:v>Actual</c:v>
                </c:pt>
                <c:pt idx="1">
                  <c:v>Professional Fees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data'!$E$102:$P$102</c:f>
              <c:numCache>
                <c:formatCode>_ * #\ ##0_)\ "€"_ ;_ * \(#\ ##0\)\ "€"_ ;_ * "-"??_)\ "€"_ ;_ @_ </c:formatCode>
                <c:ptCount val="12"/>
                <c:pt idx="0">
                  <c:v>10000</c:v>
                </c:pt>
                <c:pt idx="1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C-474D-8687-6C11990D907F}"/>
            </c:ext>
          </c:extLst>
        </c:ser>
        <c:ser>
          <c:idx val="2"/>
          <c:order val="2"/>
          <c:tx>
            <c:strRef>
              <c:f>'Spending tracking data'!$C$103:$D$103</c:f>
              <c:strCache>
                <c:ptCount val="2"/>
                <c:pt idx="0">
                  <c:v>Delta</c:v>
                </c:pt>
                <c:pt idx="1">
                  <c:v>Professional Fees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data'!$E$103:$P$103</c:f>
              <c:numCache>
                <c:formatCode>_ * #\ ##0_)\ "€"_ ;_ * \(#\ ##0\)\ "€"_ ;_ * "-"??_)\ "€"_ ;_ @_ </c:formatCode>
                <c:ptCount val="12"/>
                <c:pt idx="0">
                  <c:v>-3200</c:v>
                </c:pt>
                <c:pt idx="1">
                  <c:v>-8200</c:v>
                </c:pt>
                <c:pt idx="2">
                  <c:v>31800</c:v>
                </c:pt>
                <c:pt idx="3">
                  <c:v>0</c:v>
                </c:pt>
                <c:pt idx="4">
                  <c:v>0</c:v>
                </c:pt>
                <c:pt idx="5">
                  <c:v>23909.638999999999</c:v>
                </c:pt>
                <c:pt idx="6">
                  <c:v>24148.735389999998</c:v>
                </c:pt>
                <c:pt idx="7">
                  <c:v>24390.222743899998</c:v>
                </c:pt>
                <c:pt idx="8">
                  <c:v>24634.124971338999</c:v>
                </c:pt>
                <c:pt idx="9">
                  <c:v>24880.466221052389</c:v>
                </c:pt>
                <c:pt idx="10">
                  <c:v>25129.270883262914</c:v>
                </c:pt>
                <c:pt idx="11">
                  <c:v>25380.563592095543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C-474D-8687-6C11990D9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685663"/>
        <c:axId val="2085521775"/>
      </c:lineChart>
      <c:dateAx>
        <c:axId val="207568566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5521775"/>
        <c:crosses val="autoZero"/>
        <c:auto val="1"/>
        <c:lblOffset val="100"/>
        <c:baseTimeUnit val="months"/>
      </c:dateAx>
      <c:valAx>
        <c:axId val="2085521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568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Technology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data'!$C$104:$D$104</c:f>
              <c:strCache>
                <c:ptCount val="2"/>
                <c:pt idx="0">
                  <c:v>Plan</c:v>
                </c:pt>
                <c:pt idx="1">
                  <c:v>Technology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data'!$E$104:$P$104</c:f>
              <c:numCache>
                <c:formatCode>_ * #\ ##0_)\ "€"_ ;_ * \(#\ ##0\)\ "€"_ ;_ * "-"??_)\ "€"_ ;_ @_ </c:formatCode>
                <c:ptCount val="12"/>
                <c:pt idx="0">
                  <c:v>1800</c:v>
                </c:pt>
                <c:pt idx="1">
                  <c:v>1836</c:v>
                </c:pt>
                <c:pt idx="2">
                  <c:v>1872.72</c:v>
                </c:pt>
                <c:pt idx="3">
                  <c:v>1910.1744000000001</c:v>
                </c:pt>
                <c:pt idx="4">
                  <c:v>1948.3778880000002</c:v>
                </c:pt>
                <c:pt idx="5">
                  <c:v>1987.3454457600003</c:v>
                </c:pt>
                <c:pt idx="6">
                  <c:v>2027.0923546752003</c:v>
                </c:pt>
                <c:pt idx="7">
                  <c:v>2067.6342017687043</c:v>
                </c:pt>
                <c:pt idx="8">
                  <c:v>2108.9868858040786</c:v>
                </c:pt>
                <c:pt idx="9">
                  <c:v>2151.1666235201601</c:v>
                </c:pt>
                <c:pt idx="10">
                  <c:v>2194.1899559905632</c:v>
                </c:pt>
                <c:pt idx="11">
                  <c:v>2238.0737551103743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8-B04C-B421-81086298EC2E}"/>
            </c:ext>
          </c:extLst>
        </c:ser>
        <c:ser>
          <c:idx val="1"/>
          <c:order val="1"/>
          <c:tx>
            <c:strRef>
              <c:f>'Spending tracking data'!$C$105:$D$105</c:f>
              <c:strCache>
                <c:ptCount val="2"/>
                <c:pt idx="0">
                  <c:v>Actual</c:v>
                </c:pt>
                <c:pt idx="1">
                  <c:v>Technology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data'!$E$105:$P$105</c:f>
              <c:numCache>
                <c:formatCode>_ * #\ ##0_)\ "€"_ ;_ * \(#\ ##0\)\ "€"_ ;_ * "-"??_)\ "€"_ ;_ @_ </c:formatCode>
                <c:ptCount val="12"/>
                <c:pt idx="0">
                  <c:v>2000</c:v>
                </c:pt>
                <c:pt idx="1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8-B04C-B421-81086298EC2E}"/>
            </c:ext>
          </c:extLst>
        </c:ser>
        <c:ser>
          <c:idx val="2"/>
          <c:order val="2"/>
          <c:tx>
            <c:strRef>
              <c:f>'Spending tracking data'!$C$106:$D$106</c:f>
              <c:strCache>
                <c:ptCount val="2"/>
                <c:pt idx="0">
                  <c:v>Delta</c:v>
                </c:pt>
                <c:pt idx="1">
                  <c:v>Technology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data'!$E$106:$P$106</c:f>
              <c:numCache>
                <c:formatCode>_ * #\ ##0_)\ "€"_ ;_ * \(#\ ##0\)\ "€"_ ;_ * "-"??_)\ "€"_ ;_ @_ </c:formatCode>
                <c:ptCount val="12"/>
                <c:pt idx="0">
                  <c:v>-200</c:v>
                </c:pt>
                <c:pt idx="1">
                  <c:v>-164</c:v>
                </c:pt>
                <c:pt idx="2">
                  <c:v>1872.72</c:v>
                </c:pt>
                <c:pt idx="3">
                  <c:v>1910.1744000000001</c:v>
                </c:pt>
                <c:pt idx="4">
                  <c:v>1948.3778880000002</c:v>
                </c:pt>
                <c:pt idx="5">
                  <c:v>1987.3454457600003</c:v>
                </c:pt>
                <c:pt idx="6">
                  <c:v>2027.0923546752003</c:v>
                </c:pt>
                <c:pt idx="7">
                  <c:v>2067.6342017687043</c:v>
                </c:pt>
                <c:pt idx="8">
                  <c:v>2108.9868858040786</c:v>
                </c:pt>
                <c:pt idx="9">
                  <c:v>2151.1666235201601</c:v>
                </c:pt>
                <c:pt idx="10">
                  <c:v>2194.1899559905632</c:v>
                </c:pt>
                <c:pt idx="11">
                  <c:v>2238.0737551103743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8-B04C-B421-81086298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7788991"/>
        <c:axId val="2080893503"/>
      </c:lineChart>
      <c:dateAx>
        <c:axId val="207778899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0893503"/>
        <c:crosses val="autoZero"/>
        <c:auto val="1"/>
        <c:lblOffset val="100"/>
        <c:baseTimeUnit val="months"/>
      </c:dateAx>
      <c:valAx>
        <c:axId val="2080893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7788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Travel</a:t>
            </a:r>
            <a:r>
              <a:rPr lang="fr-FR" b="1" baseline="0"/>
              <a:t> &amp; entertainment costs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data'!$C$107:$D$107</c:f>
              <c:strCache>
                <c:ptCount val="2"/>
                <c:pt idx="0">
                  <c:v>Plan</c:v>
                </c:pt>
                <c:pt idx="1">
                  <c:v>Travel, Meals and Entertainment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data'!$E$107:$P$107</c:f>
              <c:numCache>
                <c:formatCode>_ * #\ ##0_)\ "€"_ ;_ * \(#\ ##0\)\ "€"_ ;_ * "-"??_)\ "€"_ ;_ @_ </c:formatCode>
                <c:ptCount val="12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5000</c:v>
                </c:pt>
                <c:pt idx="4">
                  <c:v>5050</c:v>
                </c:pt>
                <c:pt idx="5">
                  <c:v>5100.5</c:v>
                </c:pt>
                <c:pt idx="6">
                  <c:v>5151.5050000000001</c:v>
                </c:pt>
                <c:pt idx="7">
                  <c:v>5203.0200500000001</c:v>
                </c:pt>
                <c:pt idx="8">
                  <c:v>5255.0502505000004</c:v>
                </c:pt>
                <c:pt idx="9">
                  <c:v>5307.6007530050001</c:v>
                </c:pt>
                <c:pt idx="10">
                  <c:v>5360.6767605350506</c:v>
                </c:pt>
                <c:pt idx="11">
                  <c:v>5414.2835281404014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B-B54D-B229-DE9DD105A531}"/>
            </c:ext>
          </c:extLst>
        </c:ser>
        <c:ser>
          <c:idx val="1"/>
          <c:order val="1"/>
          <c:tx>
            <c:strRef>
              <c:f>'Spending tracking data'!$C$108:$D$108</c:f>
              <c:strCache>
                <c:ptCount val="2"/>
                <c:pt idx="0">
                  <c:v>Actual</c:v>
                </c:pt>
                <c:pt idx="1">
                  <c:v>Travel, Meals and Entertainment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data'!$E$108:$P$108</c:f>
              <c:numCache>
                <c:formatCode>_ * #\ ##0_)\ "€"_ ;_ * \(#\ ##0\)\ "€"_ ;_ * "-"??_)\ "€"_ ;_ @_ </c:formatCode>
                <c:ptCount val="12"/>
                <c:pt idx="0">
                  <c:v>600</c:v>
                </c:pt>
                <c:pt idx="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B-B54D-B229-DE9DD105A531}"/>
            </c:ext>
          </c:extLst>
        </c:ser>
        <c:ser>
          <c:idx val="2"/>
          <c:order val="2"/>
          <c:tx>
            <c:strRef>
              <c:f>'Spending tracking data'!$C$109:$D$109</c:f>
              <c:strCache>
                <c:ptCount val="2"/>
                <c:pt idx="0">
                  <c:v>Delta</c:v>
                </c:pt>
                <c:pt idx="1">
                  <c:v>Travel, Meals and Entertainment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data'!$E$109:$P$109</c:f>
              <c:numCache>
                <c:formatCode>_ * #\ ##0_)\ "€"_ ;_ * \(#\ ##0\)\ "€"_ ;_ * "-"??_)\ "€"_ ;_ @_ </c:formatCode>
                <c:ptCount val="12"/>
                <c:pt idx="0">
                  <c:v>-100</c:v>
                </c:pt>
                <c:pt idx="1">
                  <c:v>0</c:v>
                </c:pt>
                <c:pt idx="2">
                  <c:v>500</c:v>
                </c:pt>
                <c:pt idx="3">
                  <c:v>5000</c:v>
                </c:pt>
                <c:pt idx="4">
                  <c:v>5050</c:v>
                </c:pt>
                <c:pt idx="5">
                  <c:v>5100.5</c:v>
                </c:pt>
                <c:pt idx="6">
                  <c:v>5151.5050000000001</c:v>
                </c:pt>
                <c:pt idx="7">
                  <c:v>5203.0200500000001</c:v>
                </c:pt>
                <c:pt idx="8">
                  <c:v>5255.0502505000004</c:v>
                </c:pt>
                <c:pt idx="9">
                  <c:v>5307.6007530050001</c:v>
                </c:pt>
                <c:pt idx="10">
                  <c:v>5360.6767605350506</c:v>
                </c:pt>
                <c:pt idx="11">
                  <c:v>5414.2835281404014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2B-B54D-B229-DE9DD105A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701567"/>
        <c:axId val="2106017679"/>
      </c:lineChart>
      <c:dateAx>
        <c:axId val="21057015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6017679"/>
        <c:crosses val="autoZero"/>
        <c:auto val="1"/>
        <c:lblOffset val="100"/>
        <c:baseTimeUnit val="months"/>
      </c:dateAx>
      <c:valAx>
        <c:axId val="2106017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5701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Utilities</a:t>
            </a:r>
            <a:r>
              <a:rPr lang="fr-FR" baseline="0"/>
              <a:t> </a:t>
            </a:r>
            <a:r>
              <a:rPr lang="fr-FR" b="1" baseline="0"/>
              <a:t>costs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data'!$C$110:$D$110</c:f>
              <c:strCache>
                <c:ptCount val="2"/>
                <c:pt idx="0">
                  <c:v>Plan</c:v>
                </c:pt>
                <c:pt idx="1">
                  <c:v>Utilities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data'!$E$110:$P$110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1515</c:v>
                </c:pt>
                <c:pt idx="5">
                  <c:v>1530.15</c:v>
                </c:pt>
                <c:pt idx="6">
                  <c:v>1545.4515000000001</c:v>
                </c:pt>
                <c:pt idx="7">
                  <c:v>1560.9060150000003</c:v>
                </c:pt>
                <c:pt idx="8">
                  <c:v>1576.5150751500003</c:v>
                </c:pt>
                <c:pt idx="9">
                  <c:v>1592.2802259015002</c:v>
                </c:pt>
                <c:pt idx="10">
                  <c:v>1608.2030281605153</c:v>
                </c:pt>
                <c:pt idx="11">
                  <c:v>1624.2850584421203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6-AD49-85FD-1C2AA4D35202}"/>
            </c:ext>
          </c:extLst>
        </c:ser>
        <c:ser>
          <c:idx val="1"/>
          <c:order val="1"/>
          <c:tx>
            <c:strRef>
              <c:f>'Spending tracking data'!$C$111:$D$111</c:f>
              <c:strCache>
                <c:ptCount val="2"/>
                <c:pt idx="0">
                  <c:v>Actual</c:v>
                </c:pt>
                <c:pt idx="1">
                  <c:v>Utilities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data'!$E$111:$P$111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6-AD49-85FD-1C2AA4D35202}"/>
            </c:ext>
          </c:extLst>
        </c:ser>
        <c:ser>
          <c:idx val="2"/>
          <c:order val="2"/>
          <c:tx>
            <c:strRef>
              <c:f>'Spending tracking data'!$C$112:$D$112</c:f>
              <c:strCache>
                <c:ptCount val="2"/>
                <c:pt idx="0">
                  <c:v>Delta</c:v>
                </c:pt>
                <c:pt idx="1">
                  <c:v>Utilities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data'!$E$112:$P$112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1515</c:v>
                </c:pt>
                <c:pt idx="5">
                  <c:v>1530.15</c:v>
                </c:pt>
                <c:pt idx="6">
                  <c:v>1545.4515000000001</c:v>
                </c:pt>
                <c:pt idx="7">
                  <c:v>1560.9060150000003</c:v>
                </c:pt>
                <c:pt idx="8">
                  <c:v>1576.5150751500003</c:v>
                </c:pt>
                <c:pt idx="9">
                  <c:v>1592.2802259015002</c:v>
                </c:pt>
                <c:pt idx="10">
                  <c:v>1608.2030281605153</c:v>
                </c:pt>
                <c:pt idx="11">
                  <c:v>1624.2850584421203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6-AD49-85FD-1C2AA4D35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360799"/>
        <c:axId val="2085540911"/>
      </c:lineChart>
      <c:dateAx>
        <c:axId val="207536079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5540911"/>
        <c:crosses val="autoZero"/>
        <c:auto val="1"/>
        <c:lblOffset val="100"/>
        <c:baseTimeUnit val="months"/>
      </c:dateAx>
      <c:valAx>
        <c:axId val="2085540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5360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Miscellaneous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data'!$C$113:$D$113</c:f>
              <c:strCache>
                <c:ptCount val="2"/>
                <c:pt idx="0">
                  <c:v>Plan</c:v>
                </c:pt>
                <c:pt idx="1">
                  <c:v>Miscellaneous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data'!$E$113:$P$113</c:f>
              <c:numCache>
                <c:formatCode>_ * #\ ##0_)\ "€"_ ;_ * \(#\ ##0\)\ "€"_ ;_ * "-"??_)\ "€"_ ;_ @_ </c:formatCode>
                <c:ptCount val="12"/>
                <c:pt idx="0">
                  <c:v>1077.5</c:v>
                </c:pt>
                <c:pt idx="1">
                  <c:v>1090.05</c:v>
                </c:pt>
                <c:pt idx="2">
                  <c:v>1801.4390000000001</c:v>
                </c:pt>
                <c:pt idx="3">
                  <c:v>536.71777999999995</c:v>
                </c:pt>
                <c:pt idx="4">
                  <c:v>544.09213560000012</c:v>
                </c:pt>
                <c:pt idx="5">
                  <c:v>3247.0788783120006</c:v>
                </c:pt>
                <c:pt idx="6">
                  <c:v>5766.6716748782401</c:v>
                </c:pt>
                <c:pt idx="7">
                  <c:v>6171.5200168358051</c:v>
                </c:pt>
                <c:pt idx="8">
                  <c:v>6669.0779798052208</c:v>
                </c:pt>
                <c:pt idx="9">
                  <c:v>7286.4212204010955</c:v>
                </c:pt>
                <c:pt idx="10">
                  <c:v>8058.727583141851</c:v>
                </c:pt>
                <c:pt idx="11">
                  <c:v>9031.7071647594039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B-7040-BC4E-C3649FC3AF68}"/>
            </c:ext>
          </c:extLst>
        </c:ser>
        <c:ser>
          <c:idx val="1"/>
          <c:order val="1"/>
          <c:tx>
            <c:strRef>
              <c:f>'Spending tracking data'!$C$114:$D$114</c:f>
              <c:strCache>
                <c:ptCount val="2"/>
                <c:pt idx="0">
                  <c:v>Actual</c:v>
                </c:pt>
                <c:pt idx="1">
                  <c:v>Miscellaneous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data'!$E$114:$P$114</c:f>
              <c:numCache>
                <c:formatCode>_ * #\ ##0_)\ "€"_ ;_ * \(#\ ##0\)\ "€"_ ;_ * "-"??_)\ "€"_ ;_ @_ </c:formatCode>
                <c:ptCount val="1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B-7040-BC4E-C3649FC3AF68}"/>
            </c:ext>
          </c:extLst>
        </c:ser>
        <c:ser>
          <c:idx val="2"/>
          <c:order val="2"/>
          <c:tx>
            <c:strRef>
              <c:f>'Spending tracking data'!$C$115:$D$115</c:f>
              <c:strCache>
                <c:ptCount val="2"/>
                <c:pt idx="0">
                  <c:v>Delta</c:v>
                </c:pt>
                <c:pt idx="1">
                  <c:v>Miscellaneous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data'!$E$115:$P$115</c:f>
              <c:numCache>
                <c:formatCode>_ * #\ ##0_)\ "€"_ ;_ * \(#\ ##0\)\ "€"_ ;_ * "-"??_)\ "€"_ ;_ @_ </c:formatCode>
                <c:ptCount val="12"/>
                <c:pt idx="0">
                  <c:v>-922.5</c:v>
                </c:pt>
                <c:pt idx="1">
                  <c:v>-909.95</c:v>
                </c:pt>
                <c:pt idx="2">
                  <c:v>-198.56099999999992</c:v>
                </c:pt>
                <c:pt idx="3">
                  <c:v>536.71777999999995</c:v>
                </c:pt>
                <c:pt idx="4">
                  <c:v>544.09213560000012</c:v>
                </c:pt>
                <c:pt idx="5">
                  <c:v>3247.0788783120006</c:v>
                </c:pt>
                <c:pt idx="6">
                  <c:v>5766.6716748782401</c:v>
                </c:pt>
                <c:pt idx="7">
                  <c:v>6171.5200168358051</c:v>
                </c:pt>
                <c:pt idx="8">
                  <c:v>6669.0779798052208</c:v>
                </c:pt>
                <c:pt idx="9">
                  <c:v>7286.4212204010955</c:v>
                </c:pt>
                <c:pt idx="10">
                  <c:v>8058.727583141851</c:v>
                </c:pt>
                <c:pt idx="11">
                  <c:v>9031.7071647594039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B-7040-BC4E-C3649FC3A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765199"/>
        <c:axId val="2078036447"/>
      </c:lineChart>
      <c:dateAx>
        <c:axId val="208676519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8036447"/>
        <c:crosses val="autoZero"/>
        <c:auto val="1"/>
        <c:lblOffset val="100"/>
        <c:baseTimeUnit val="months"/>
      </c:dateAx>
      <c:valAx>
        <c:axId val="207803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765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Total operating expenses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'Spending tracking data'!$C$116:$D$116</c:f>
              <c:strCache>
                <c:ptCount val="2"/>
                <c:pt idx="0">
                  <c:v>Plan</c:v>
                </c:pt>
                <c:pt idx="1">
                  <c:v>Total operating expenses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data'!$E$116:$P$116</c:f>
              <c:numCache>
                <c:formatCode>_ * #\ ##0_)\ "€"_ ;_ * \(#\ ##0\)\ "€"_ ;_ * "-"??_)\ "€"_ ;_ @_ </c:formatCode>
                <c:ptCount val="12"/>
                <c:pt idx="0">
                  <c:v>22627.5</c:v>
                </c:pt>
                <c:pt idx="1">
                  <c:v>22891.05</c:v>
                </c:pt>
                <c:pt idx="2">
                  <c:v>37830.218999999997</c:v>
                </c:pt>
                <c:pt idx="3">
                  <c:v>11271.073379999998</c:v>
                </c:pt>
                <c:pt idx="4">
                  <c:v>11425.934847600001</c:v>
                </c:pt>
                <c:pt idx="5">
                  <c:v>68188.656444552005</c:v>
                </c:pt>
                <c:pt idx="6">
                  <c:v>121100.10517244303</c:v>
                </c:pt>
                <c:pt idx="7">
                  <c:v>129601.92035355189</c:v>
                </c:pt>
                <c:pt idx="8">
                  <c:v>140050.63757590961</c:v>
                </c:pt>
                <c:pt idx="9">
                  <c:v>153014.84562842301</c:v>
                </c:pt>
                <c:pt idx="10">
                  <c:v>169233.27924597886</c:v>
                </c:pt>
                <c:pt idx="11">
                  <c:v>189665.85045994745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7-1B46-AD79-D955C0CDBDCD}"/>
            </c:ext>
          </c:extLst>
        </c:ser>
        <c:ser>
          <c:idx val="1"/>
          <c:order val="1"/>
          <c:tx>
            <c:strRef>
              <c:f>'Spending tracking data'!$C$117:$D$117</c:f>
              <c:strCache>
                <c:ptCount val="2"/>
                <c:pt idx="0">
                  <c:v>Actual</c:v>
                </c:pt>
                <c:pt idx="1">
                  <c:v>Total operating expenses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data'!$E$117:$P$117</c:f>
              <c:numCache>
                <c:formatCode>_ * #\ ##0.0_)\ "€"_ ;_ * \(#\ ##0.0\)\ "€"_ ;_ * "-"??_)\ "€"_ ;_ @_ </c:formatCode>
                <c:ptCount val="12"/>
                <c:pt idx="0">
                  <c:v>27100</c:v>
                </c:pt>
                <c:pt idx="1">
                  <c:v>31500</c:v>
                </c:pt>
                <c:pt idx="2">
                  <c:v>18500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07-1B46-AD79-D955C0CDBDCD}"/>
            </c:ext>
          </c:extLst>
        </c:ser>
        <c:ser>
          <c:idx val="2"/>
          <c:order val="2"/>
          <c:tx>
            <c:strRef>
              <c:f>'Spending tracking data'!$C$118:$D$118</c:f>
              <c:strCache>
                <c:ptCount val="2"/>
                <c:pt idx="0">
                  <c:v>Delta</c:v>
                </c:pt>
                <c:pt idx="1">
                  <c:v>Total operating expenses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'Spending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'Spending tracking data'!$E$118:$P$118</c:f>
              <c:numCache>
                <c:formatCode>_ * #\ ##0_)\ "€"_ ;_ * \(#\ ##0\)\ "€"_ ;_ * "-"??_)\ "€"_ ;_ @_ </c:formatCode>
                <c:ptCount val="12"/>
                <c:pt idx="0">
                  <c:v>-4472.5</c:v>
                </c:pt>
                <c:pt idx="1">
                  <c:v>-8608.9500000000007</c:v>
                </c:pt>
                <c:pt idx="2">
                  <c:v>19330.218999999997</c:v>
                </c:pt>
                <c:pt idx="3">
                  <c:v>11271.073379999998</c:v>
                </c:pt>
                <c:pt idx="4">
                  <c:v>11425.934847600001</c:v>
                </c:pt>
                <c:pt idx="5">
                  <c:v>68188.656444552005</c:v>
                </c:pt>
                <c:pt idx="6">
                  <c:v>121100.10517244303</c:v>
                </c:pt>
                <c:pt idx="7">
                  <c:v>129601.92035355189</c:v>
                </c:pt>
                <c:pt idx="8">
                  <c:v>140050.63757590961</c:v>
                </c:pt>
                <c:pt idx="9">
                  <c:v>153014.84562842301</c:v>
                </c:pt>
                <c:pt idx="10">
                  <c:v>169233.27924597886</c:v>
                </c:pt>
                <c:pt idx="11">
                  <c:v>189665.85045994745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07-1B46-AD79-D955C0CD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665007"/>
        <c:axId val="1985962751"/>
      </c:lineChart>
      <c:dateAx>
        <c:axId val="207566500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5962751"/>
        <c:crosses val="autoZero"/>
        <c:auto val="1"/>
        <c:lblOffset val="100"/>
        <c:baseTimeUnit val="months"/>
      </c:dateAx>
      <c:valAx>
        <c:axId val="198596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5665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Acquisition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data'!$E$11:$P$11</c:f>
              <c:numCache>
                <c:formatCode>_ * #\ ##0.000_)\ "€"_ ;_ * \(#\ ##0.000\)\ "€"_ ;_ * "-"??_)\ "€"_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0.32260952698472306</c:v>
                </c:pt>
                <c:pt idx="7">
                  <c:v>0.31991263370869433</c:v>
                </c:pt>
                <c:pt idx="8">
                  <c:v>0.31877590633068009</c:v>
                </c:pt>
                <c:pt idx="9">
                  <c:v>0.31751987094539086</c:v>
                </c:pt>
                <c:pt idx="10">
                  <c:v>0.31673314453486984</c:v>
                </c:pt>
                <c:pt idx="11">
                  <c:v>0.31628390831002429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9-1A4F-A96E-18CC9D05EE1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data'!$E$12:$P$12</c:f>
              <c:numCache>
                <c:formatCode>_ * #\ ##0_)\ "€"_ ;_ * \(#\ ##0\)\ "€"_ ;_ * "-"??_)\ "€"_ ;_ @_ </c:formatCode>
                <c:ptCount val="12"/>
                <c:pt idx="0" formatCode="_(&quot;€&quot;* #,##0.00_);_(&quot;€&quot;* \(#,##0.00\);_(&quot;€&quot;* &quot;-&quot;??_);_(@_)">
                  <c:v>0.2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9-1A4F-A96E-18CC9D05E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3141184"/>
        <c:axId val="1983780927"/>
      </c:barChart>
      <c:dateAx>
        <c:axId val="263141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3780927"/>
        <c:crosses val="autoZero"/>
        <c:auto val="1"/>
        <c:lblOffset val="100"/>
        <c:baseTimeUnit val="months"/>
      </c:dateAx>
      <c:valAx>
        <c:axId val="198378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.000_)\ &quot;€&quot;_ ;_ * \(#\ ##0.00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314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Conversion</a:t>
            </a:r>
            <a:r>
              <a:rPr lang="fr-FR" b="1" baseline="0"/>
              <a:t> rate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data'!$E$14:$P$14</c:f>
              <c:numCache>
                <c:formatCode>0%</c:formatCode>
                <c:ptCount val="12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5-EB44-B0B9-20C32EB8A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86919967"/>
        <c:axId val="1986849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data'!$E$15:$P$15</c:f>
              <c:numCache>
                <c:formatCode>0%</c:formatCode>
                <c:ptCount val="12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5-EB44-B0B9-20C32EB8A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6919967"/>
        <c:axId val="1986849839"/>
      </c:lineChart>
      <c:dateAx>
        <c:axId val="19869199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6849839"/>
        <c:crosses val="autoZero"/>
        <c:auto val="1"/>
        <c:lblOffset val="100"/>
        <c:baseTimeUnit val="months"/>
      </c:dateAx>
      <c:valAx>
        <c:axId val="1986849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6919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N° of websites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data'!$E$26:$P$26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764D-91EE-B9A0FEADB09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data'!$E$27:$P$27</c:f>
              <c:numCache>
                <c:formatCode>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764D-91EE-B9A0FEAD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81491231"/>
        <c:axId val="1978721727"/>
      </c:barChart>
      <c:dateAx>
        <c:axId val="198149123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78721727"/>
        <c:crosses val="autoZero"/>
        <c:auto val="1"/>
        <c:lblOffset val="100"/>
        <c:baseTimeUnit val="months"/>
      </c:dateAx>
      <c:valAx>
        <c:axId val="1978721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1491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Serveur &amp; infrastructure</a:t>
            </a:r>
            <a:r>
              <a:rPr lang="fr-FR" baseline="0"/>
              <a:t> cost per website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data'!$E$29:$P$29</c:f>
              <c:numCache>
                <c:formatCode>_ * #\ ##0_)\ "€"_ ;_ * \(#\ ##0\)\ "€"_ ;_ * "-"??_)\ "€"_ ;_ @_ </c:formatCode>
                <c:ptCount val="12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E-4C41-9036-5A41DCF0F20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data'!$E$30:$P$30</c:f>
              <c:numCache>
                <c:formatCode>_ * #\ ##0_)\ "€"_ ;_ * \(#\ ##0\)\ "€"_ ;_ * "-"??_)\ "€"_ ;_ @_ </c:formatCode>
                <c:ptCount val="12"/>
                <c:pt idx="0">
                  <c:v>300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E-4C41-9036-5A41DCF0F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1747423"/>
        <c:axId val="1993663519"/>
      </c:barChart>
      <c:dateAx>
        <c:axId val="199174742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3663519"/>
        <c:crosses val="autoZero"/>
        <c:auto val="1"/>
        <c:lblOffset val="100"/>
        <c:baseTimeUnit val="months"/>
      </c:dateAx>
      <c:valAx>
        <c:axId val="199366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1747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Transport cost per meeting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data'!$E$32:$P$32</c:f>
              <c:numCache>
                <c:formatCode>_ * #\ ##0_)\ "€"_ ;_ * \(#\ ##0\)\ "€"_ ;_ * "-"??_)\ "€"_ ;_ @_ </c:formatCode>
                <c:ptCount val="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7-E949-892F-769E51415DD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data'!$E$33:$P$33</c:f>
              <c:numCache>
                <c:formatCode>_ * #\ ##0_)\ "€"_ ;_ * \(#\ ##0\)\ "€"_ ;_ * "-"??_)\ "€"_ ;_ @_ </c:formatCode>
                <c:ptCount val="12"/>
                <c:pt idx="0">
                  <c:v>100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7-E949-892F-769E5141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89003087"/>
        <c:axId val="1988151215"/>
      </c:barChart>
      <c:dateAx>
        <c:axId val="198900308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8151215"/>
        <c:crosses val="autoZero"/>
        <c:auto val="1"/>
        <c:lblOffset val="100"/>
        <c:baseTimeUnit val="months"/>
      </c:dateAx>
      <c:valAx>
        <c:axId val="1988151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9003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Configuration cost per website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data'!$E$35:$P$35</c:f>
              <c:numCache>
                <c:formatCode>_ * #\ ##0_)\ "€"_ ;_ * \(#\ ##0\)\ "€"_ ;_ * "-"??_)\ "€"_ ;_ @_ 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2-D34D-B183-FC7AF8BCD9E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'KPI Tracking data'!$E$2:$P$2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'KPI Tracking data'!$E$36:$P$36</c:f>
              <c:numCache>
                <c:formatCode>_ * #\ ##0_)\ "€"_ ;_ * \(#\ ##0\)\ "€"_ ;_ * "-"??_)\ "€"_ ;_ @_ </c:formatCode>
                <c:ptCount val="1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2-D34D-B183-FC7AF8BC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46335"/>
        <c:axId val="1983022671"/>
      </c:barChart>
      <c:dateAx>
        <c:axId val="199464633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3022671"/>
        <c:crosses val="autoZero"/>
        <c:auto val="1"/>
        <c:lblOffset val="100"/>
        <c:baseTimeUnit val="months"/>
      </c:dateAx>
      <c:valAx>
        <c:axId val="1983022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€&quot;_ ;_ * \(#\ ##0\)\ &quot;€&quot;_ ;_ * &quot;-&quot;??_)\ &quot;€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4646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18" Type="http://schemas.openxmlformats.org/officeDocument/2006/relationships/chart" Target="../charts/chart33.xml"/><Relationship Id="rId3" Type="http://schemas.openxmlformats.org/officeDocument/2006/relationships/chart" Target="../charts/chart18.xml"/><Relationship Id="rId21" Type="http://schemas.openxmlformats.org/officeDocument/2006/relationships/chart" Target="../charts/chart36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20" Type="http://schemas.openxmlformats.org/officeDocument/2006/relationships/chart" Target="../charts/chart35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10" Type="http://schemas.openxmlformats.org/officeDocument/2006/relationships/chart" Target="../charts/chart25.xml"/><Relationship Id="rId19" Type="http://schemas.openxmlformats.org/officeDocument/2006/relationships/chart" Target="../charts/chart34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14113</xdr:colOff>
      <xdr:row>3</xdr:row>
      <xdr:rowOff>0</xdr:rowOff>
    </xdr:from>
    <xdr:to>
      <xdr:col>4</xdr:col>
      <xdr:colOff>649111</xdr:colOff>
      <xdr:row>7</xdr:row>
      <xdr:rowOff>30674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83ABF22-1FE8-F843-A16D-70C71C388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9224" y="931333"/>
          <a:ext cx="3697109" cy="9888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68096</xdr:colOff>
      <xdr:row>2</xdr:row>
      <xdr:rowOff>38250</xdr:rowOff>
    </xdr:from>
    <xdr:to>
      <xdr:col>5</xdr:col>
      <xdr:colOff>245462</xdr:colOff>
      <xdr:row>17</xdr:row>
      <xdr:rowOff>173589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CA28378-9F9B-4541-97B0-6C18C78E9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693319</xdr:colOff>
      <xdr:row>2</xdr:row>
      <xdr:rowOff>48922</xdr:rowOff>
    </xdr:from>
    <xdr:to>
      <xdr:col>16</xdr:col>
      <xdr:colOff>496874</xdr:colOff>
      <xdr:row>17</xdr:row>
      <xdr:rowOff>195501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B169ACD2-74F8-914F-A007-9582ED70E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304583</xdr:colOff>
      <xdr:row>2</xdr:row>
      <xdr:rowOff>48354</xdr:rowOff>
    </xdr:from>
    <xdr:to>
      <xdr:col>10</xdr:col>
      <xdr:colOff>633158</xdr:colOff>
      <xdr:row>17</xdr:row>
      <xdr:rowOff>183695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E448F7F8-FC3F-8B40-A72A-E83CABF03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42689</xdr:colOff>
      <xdr:row>19</xdr:row>
      <xdr:rowOff>21344</xdr:rowOff>
    </xdr:from>
    <xdr:to>
      <xdr:col>7</xdr:col>
      <xdr:colOff>843109</xdr:colOff>
      <xdr:row>34</xdr:row>
      <xdr:rowOff>138740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2E02525A-2B58-7941-A03E-14C78FEF8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32015</xdr:colOff>
      <xdr:row>36</xdr:row>
      <xdr:rowOff>10673</xdr:rowOff>
    </xdr:from>
    <xdr:to>
      <xdr:col>7</xdr:col>
      <xdr:colOff>853781</xdr:colOff>
      <xdr:row>51</xdr:row>
      <xdr:rowOff>96050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A45B4498-9453-4A42-B16F-20A2E0B0B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52</xdr:row>
      <xdr:rowOff>309495</xdr:rowOff>
    </xdr:from>
    <xdr:to>
      <xdr:col>5</xdr:col>
      <xdr:colOff>266806</xdr:colOff>
      <xdr:row>68</xdr:row>
      <xdr:rowOff>181429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DA25C7AF-E35B-3645-82D2-F4845BCD6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362858</xdr:colOff>
      <xdr:row>53</xdr:row>
      <xdr:rowOff>10672</xdr:rowOff>
    </xdr:from>
    <xdr:to>
      <xdr:col>10</xdr:col>
      <xdr:colOff>736386</xdr:colOff>
      <xdr:row>68</xdr:row>
      <xdr:rowOff>160084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1276E0DB-7AD5-1445-8EA5-911217582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843108</xdr:colOff>
      <xdr:row>53</xdr:row>
      <xdr:rowOff>10671</xdr:rowOff>
    </xdr:from>
    <xdr:to>
      <xdr:col>17</xdr:col>
      <xdr:colOff>618991</xdr:colOff>
      <xdr:row>68</xdr:row>
      <xdr:rowOff>170756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60F5B27F-666A-1E43-AF62-A7925BDAB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69</xdr:row>
      <xdr:rowOff>53361</xdr:rowOff>
    </xdr:from>
    <xdr:to>
      <xdr:col>5</xdr:col>
      <xdr:colOff>256134</xdr:colOff>
      <xdr:row>83</xdr:row>
      <xdr:rowOff>128067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20FB884E-D1E9-704D-B5B8-B67B94955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352184</xdr:colOff>
      <xdr:row>69</xdr:row>
      <xdr:rowOff>64033</xdr:rowOff>
    </xdr:from>
    <xdr:to>
      <xdr:col>10</xdr:col>
      <xdr:colOff>736385</xdr:colOff>
      <xdr:row>83</xdr:row>
      <xdr:rowOff>128066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4F6DF9B0-B540-FC4B-A39B-B229DDD72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853780</xdr:colOff>
      <xdr:row>69</xdr:row>
      <xdr:rowOff>64033</xdr:rowOff>
    </xdr:from>
    <xdr:to>
      <xdr:col>17</xdr:col>
      <xdr:colOff>629663</xdr:colOff>
      <xdr:row>83</xdr:row>
      <xdr:rowOff>128066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7309257A-B2F9-5040-A633-2E9D723D6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5</xdr:col>
      <xdr:colOff>256134</xdr:colOff>
      <xdr:row>98</xdr:row>
      <xdr:rowOff>192100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D4C9DB4E-D704-9F45-9DD0-212A06D93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352184</xdr:colOff>
      <xdr:row>84</xdr:row>
      <xdr:rowOff>21344</xdr:rowOff>
    </xdr:from>
    <xdr:to>
      <xdr:col>10</xdr:col>
      <xdr:colOff>725714</xdr:colOff>
      <xdr:row>98</xdr:row>
      <xdr:rowOff>192099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C62EA2B9-2CBF-F94A-89F0-7B87AA3B0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32016</xdr:colOff>
      <xdr:row>100</xdr:row>
      <xdr:rowOff>21344</xdr:rowOff>
    </xdr:from>
    <xdr:to>
      <xdr:col>5</xdr:col>
      <xdr:colOff>245461</xdr:colOff>
      <xdr:row>114</xdr:row>
      <xdr:rowOff>149411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BE0FE928-05B6-E043-BC8E-6C5B26AAD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320168</xdr:colOff>
      <xdr:row>100</xdr:row>
      <xdr:rowOff>21344</xdr:rowOff>
    </xdr:from>
    <xdr:to>
      <xdr:col>10</xdr:col>
      <xdr:colOff>715041</xdr:colOff>
      <xdr:row>114</xdr:row>
      <xdr:rowOff>149411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1B55F4A9-7B21-E047-864C-6540C8DE4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584423</xdr:colOff>
      <xdr:row>16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052CBCB-66EB-204C-BE82-E7851045F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651857</xdr:colOff>
      <xdr:row>2</xdr:row>
      <xdr:rowOff>0</xdr:rowOff>
    </xdr:from>
    <xdr:to>
      <xdr:col>10</xdr:col>
      <xdr:colOff>741769</xdr:colOff>
      <xdr:row>16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BFF40A31-F8DC-8840-8F4A-B5824DAAD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809204</xdr:colOff>
      <xdr:row>2</xdr:row>
      <xdr:rowOff>11239</xdr:rowOff>
    </xdr:from>
    <xdr:to>
      <xdr:col>16</xdr:col>
      <xdr:colOff>438318</xdr:colOff>
      <xdr:row>16</xdr:row>
      <xdr:rowOff>11239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CA7142F1-4870-6049-8DFB-F5E3CE73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16</xdr:row>
      <xdr:rowOff>44955</xdr:rowOff>
    </xdr:from>
    <xdr:to>
      <xdr:col>5</xdr:col>
      <xdr:colOff>573185</xdr:colOff>
      <xdr:row>29</xdr:row>
      <xdr:rowOff>179823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FBFA0630-1AE9-004A-BF8E-FE87EC05A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31</xdr:row>
      <xdr:rowOff>0</xdr:rowOff>
    </xdr:from>
    <xdr:to>
      <xdr:col>22</xdr:col>
      <xdr:colOff>325244</xdr:colOff>
      <xdr:row>67</xdr:row>
      <xdr:rowOff>191698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E01D558-E71C-3946-85AB-C69007D57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69</xdr:row>
      <xdr:rowOff>0</xdr:rowOff>
    </xdr:from>
    <xdr:to>
      <xdr:col>5</xdr:col>
      <xdr:colOff>311509</xdr:colOff>
      <xdr:row>85</xdr:row>
      <xdr:rowOff>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3F79BD7A-21FB-2042-85B9-B7944BCFB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383397</xdr:colOff>
      <xdr:row>69</xdr:row>
      <xdr:rowOff>11980</xdr:rowOff>
    </xdr:from>
    <xdr:to>
      <xdr:col>11</xdr:col>
      <xdr:colOff>119812</xdr:colOff>
      <xdr:row>84</xdr:row>
      <xdr:rowOff>203678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9E74DFB-388F-F144-9237-3E9A7A436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179717</xdr:colOff>
      <xdr:row>69</xdr:row>
      <xdr:rowOff>11980</xdr:rowOff>
    </xdr:from>
    <xdr:to>
      <xdr:col>18</xdr:col>
      <xdr:colOff>0</xdr:colOff>
      <xdr:row>84</xdr:row>
      <xdr:rowOff>203678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90E41A50-2A03-C14D-8F86-B0606B7EE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86</xdr:row>
      <xdr:rowOff>11981</xdr:rowOff>
    </xdr:from>
    <xdr:to>
      <xdr:col>5</xdr:col>
      <xdr:colOff>287547</xdr:colOff>
      <xdr:row>101</xdr:row>
      <xdr:rowOff>47923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BE1EF178-9D56-4244-8EB0-CE5239139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347452</xdr:colOff>
      <xdr:row>86</xdr:row>
      <xdr:rowOff>11980</xdr:rowOff>
    </xdr:from>
    <xdr:to>
      <xdr:col>11</xdr:col>
      <xdr:colOff>131793</xdr:colOff>
      <xdr:row>101</xdr:row>
      <xdr:rowOff>35942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B547FB3C-CD66-C548-BD31-C1F8F3CA9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191699</xdr:colOff>
      <xdr:row>86</xdr:row>
      <xdr:rowOff>11980</xdr:rowOff>
    </xdr:from>
    <xdr:to>
      <xdr:col>17</xdr:col>
      <xdr:colOff>299528</xdr:colOff>
      <xdr:row>101</xdr:row>
      <xdr:rowOff>35942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48B14C05-9AB8-7146-857A-CEA0FC63A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101</xdr:row>
      <xdr:rowOff>83867</xdr:rowOff>
    </xdr:from>
    <xdr:to>
      <xdr:col>5</xdr:col>
      <xdr:colOff>275565</xdr:colOff>
      <xdr:row>116</xdr:row>
      <xdr:rowOff>11981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F60B7278-E956-2A4E-89F8-57C87851F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347453</xdr:colOff>
      <xdr:row>101</xdr:row>
      <xdr:rowOff>95849</xdr:rowOff>
    </xdr:from>
    <xdr:to>
      <xdr:col>11</xdr:col>
      <xdr:colOff>119812</xdr:colOff>
      <xdr:row>116</xdr:row>
      <xdr:rowOff>11981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A1868C17-E8FF-F546-BC3C-4F38BEBDA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191699</xdr:colOff>
      <xdr:row>101</xdr:row>
      <xdr:rowOff>107830</xdr:rowOff>
    </xdr:from>
    <xdr:to>
      <xdr:col>17</xdr:col>
      <xdr:colOff>299528</xdr:colOff>
      <xdr:row>116</xdr:row>
      <xdr:rowOff>0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9C138C5E-48CD-8F43-97BB-2B1A7F025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116</xdr:row>
      <xdr:rowOff>59906</xdr:rowOff>
    </xdr:from>
    <xdr:to>
      <xdr:col>5</xdr:col>
      <xdr:colOff>275565</xdr:colOff>
      <xdr:row>132</xdr:row>
      <xdr:rowOff>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C8D6CD45-4A6C-AA4A-A5F4-579A60EFB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347452</xdr:colOff>
      <xdr:row>116</xdr:row>
      <xdr:rowOff>59905</xdr:rowOff>
    </xdr:from>
    <xdr:to>
      <xdr:col>11</xdr:col>
      <xdr:colOff>131793</xdr:colOff>
      <xdr:row>131</xdr:row>
      <xdr:rowOff>191697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FC615CBA-F490-2A44-8763-68C70CE4E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203679</xdr:colOff>
      <xdr:row>116</xdr:row>
      <xdr:rowOff>59906</xdr:rowOff>
    </xdr:from>
    <xdr:to>
      <xdr:col>17</xdr:col>
      <xdr:colOff>299528</xdr:colOff>
      <xdr:row>132</xdr:row>
      <xdr:rowOff>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A8E8552A-988B-C146-A985-BB23024F6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132</xdr:row>
      <xdr:rowOff>47923</xdr:rowOff>
    </xdr:from>
    <xdr:to>
      <xdr:col>5</xdr:col>
      <xdr:colOff>275565</xdr:colOff>
      <xdr:row>147</xdr:row>
      <xdr:rowOff>143773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61A2ABE9-9D11-E64E-92D8-33BFB26D3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347452</xdr:colOff>
      <xdr:row>132</xdr:row>
      <xdr:rowOff>47925</xdr:rowOff>
    </xdr:from>
    <xdr:to>
      <xdr:col>11</xdr:col>
      <xdr:colOff>131792</xdr:colOff>
      <xdr:row>147</xdr:row>
      <xdr:rowOff>131792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59B998A4-A88D-2C45-BF36-985E54B52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203679</xdr:colOff>
      <xdr:row>132</xdr:row>
      <xdr:rowOff>47925</xdr:rowOff>
    </xdr:from>
    <xdr:to>
      <xdr:col>17</xdr:col>
      <xdr:colOff>299527</xdr:colOff>
      <xdr:row>147</xdr:row>
      <xdr:rowOff>131792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4F79EAF6-8540-F84C-BFA0-4905F56D7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148</xdr:row>
      <xdr:rowOff>0</xdr:rowOff>
    </xdr:from>
    <xdr:to>
      <xdr:col>17</xdr:col>
      <xdr:colOff>311509</xdr:colOff>
      <xdr:row>170</xdr:row>
      <xdr:rowOff>0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86EF5961-E5C1-8B45-B203-E2107F392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Francois Hermand" id="{8B52856E-0917-FB45-A4C2-AB81DE2798DA}" userId="ba206a2b95f49a3e" providerId="Windows Live"/>
</personList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24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">
  <a:themeElements>
    <a:clrScheme name="CFI">
      <a:dk1>
        <a:sysClr val="windowText" lastClr="000000"/>
      </a:dk1>
      <a:lt1>
        <a:sysClr val="window" lastClr="FFFFFF"/>
      </a:lt1>
      <a:dk2>
        <a:srgbClr val="FA621C"/>
      </a:dk2>
      <a:lt2>
        <a:srgbClr val="132E57"/>
      </a:lt2>
      <a:accent1>
        <a:srgbClr val="E6E7E8"/>
      </a:accent1>
      <a:accent2>
        <a:srgbClr val="F57A16"/>
      </a:accent2>
      <a:accent3>
        <a:srgbClr val="1E8496"/>
      </a:accent3>
      <a:accent4>
        <a:srgbClr val="E6E7E8"/>
      </a:accent4>
      <a:accent5>
        <a:srgbClr val="ED942D"/>
      </a:accent5>
      <a:accent6>
        <a:srgbClr val="1E2A39"/>
      </a:accent6>
      <a:hlink>
        <a:srgbClr val="E6E7E8"/>
      </a:hlink>
      <a:folHlink>
        <a:srgbClr val="67676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5" dT="2020-03-25T11:35:10.02" personId="{8B52856E-0917-FB45-A4C2-AB81DE2798DA}" id="{7211C517-1C15-D944-A3B4-EF5DD0DE2016}">
    <text>Paiement FDJ</text>
  </threadedComment>
  <threadedComment ref="D15" dT="2020-03-25T11:35:00.20" personId="{8B52856E-0917-FB45-A4C2-AB81DE2798DA}" id="{53058137-9D82-F748-89A1-76E8F18F2ADC}">
    <text>Paiement FDJ</text>
  </threadedComment>
  <threadedComment ref="F15" dT="2020-03-25T11:16:51.05" personId="{8B52856E-0917-FB45-A4C2-AB81DE2798DA}" id="{DD51C82B-44C7-5E42-BFB5-B33F90E298F9}">
    <text>Chiffre d’affaire</text>
  </threadedComment>
  <threadedComment ref="G15" dT="2020-03-25T11:36:20.86" personId="{8B52856E-0917-FB45-A4C2-AB81DE2798DA}" id="{A0177E47-7479-A642-AB39-32E65A2A419F}">
    <text>FDJ</text>
  </threadedComment>
  <threadedComment ref="H15" dT="2020-03-25T11:16:58.24" personId="{8B52856E-0917-FB45-A4C2-AB81DE2798DA}" id="{3C08CF4C-865F-4A40-854A-8574B955B0D5}">
    <text>CIR/CII</text>
  </threadedComment>
  <threadedComment ref="C16" dT="2020-03-25T11:35:31.42" personId="{8B52856E-0917-FB45-A4C2-AB81DE2798DA}" id="{1FF6C3EB-A786-4941-87CB-9800F93C7A50}">
    <text>Paiement salaires novembre 2019 + decembre 2019</text>
  </threadedComment>
  <threadedComment ref="D16" dT="2020-03-25T11:35:41.73" personId="{8B52856E-0917-FB45-A4C2-AB81DE2798DA}" id="{3DCE9427-FEFC-9346-A543-9A8EA1A9B28C}">
    <text>Paiement salaires janvier</text>
  </threadedComment>
  <threadedComment ref="C17" dT="2020-03-25T11:29:42.32" personId="{8B52856E-0917-FB45-A4C2-AB81DE2798DA}" id="{D0754970-6C9D-C04A-B802-26D42BCEDFF4}">
    <text>Levée de fond Thomas Bianchi</text>
  </threadedComment>
  <threadedComment ref="D17" dT="2020-03-25T11:34:47.60" personId="{8B52856E-0917-FB45-A4C2-AB81DE2798DA}" id="{9A1A0C91-8627-C844-A74B-63AB3AF6F974}">
    <text>Levée de fonds ayomi + apport 2 actionnaires</text>
  </threadedComment>
  <threadedComment ref="H17" dT="2020-03-25T11:29:56.45" personId="{8B52856E-0917-FB45-A4C2-AB81DE2798DA}" id="{B294FD3C-F4ED-6F49-87A1-542E2C065E22}">
    <text>Levée de fonds</text>
  </threadedComment>
  <threadedComment ref="J17" dT="2020-03-25T11:36:03.61" personId="{8B52856E-0917-FB45-A4C2-AB81DE2798DA}" id="{A8441F88-3131-E743-A503-6C48B6975527}">
    <text>Complément BPI suite à la levée de fonds</text>
  </threadedComment>
  <threadedComment ref="G23" dT="2020-03-25T11:37:01.71" personId="{8B52856E-0917-FB45-A4C2-AB81DE2798DA}" id="{EEF135E5-340C-7B48-A4FE-18BC0736009F}">
    <text>Découvert max à anticiper avant levée de fonds (qui doit intervenir entre avril et juin, mais compte tenu de la situation nous préférons avancer sur juin)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39"/>
  <sheetViews>
    <sheetView showGridLines="0" tabSelected="1" zoomScaleNormal="90" workbookViewId="0">
      <selection activeCell="C19" sqref="C19"/>
    </sheetView>
  </sheetViews>
  <sheetFormatPr baseColWidth="10" defaultColWidth="9.1640625" defaultRowHeight="14" x14ac:dyDescent="0.15"/>
  <cols>
    <col min="1" max="2" width="11" style="56" customWidth="1"/>
    <col min="3" max="3" width="29.1640625" style="56" customWidth="1"/>
    <col min="4" max="5" width="11" style="56" customWidth="1"/>
    <col min="6" max="6" width="17.83203125" style="56" customWidth="1"/>
    <col min="7" max="7" width="11" style="56" customWidth="1"/>
    <col min="8" max="8" width="16.6640625" style="56" customWidth="1"/>
    <col min="9" max="10" width="11" style="56" customWidth="1"/>
    <col min="11" max="11" width="17.33203125" style="56" customWidth="1"/>
    <col min="12" max="13" width="11" style="56" customWidth="1"/>
    <col min="14" max="14" width="15.6640625" style="56" customWidth="1"/>
    <col min="15" max="22" width="11" style="56" customWidth="1"/>
    <col min="23" max="25" width="9.1640625" style="56"/>
    <col min="26" max="26" width="9.1640625" style="56" customWidth="1"/>
    <col min="27" max="16384" width="9.1640625" style="56"/>
  </cols>
  <sheetData>
    <row r="1" spans="2:15" ht="19.5" customHeight="1" x14ac:dyDescent="0.15"/>
    <row r="2" spans="2:15" ht="19.5" customHeight="1" x14ac:dyDescent="0.15"/>
    <row r="3" spans="2:15" ht="19.5" customHeight="1" x14ac:dyDescent="0.15"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</row>
    <row r="4" spans="2:15" ht="19.5" customHeight="1" x14ac:dyDescent="0.1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</row>
    <row r="5" spans="2:15" ht="19.5" customHeight="1" x14ac:dyDescent="0.15"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2:15" ht="19.5" customHeight="1" x14ac:dyDescent="0.15"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</row>
    <row r="7" spans="2:15" ht="19.5" customHeight="1" x14ac:dyDescent="0.15"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</row>
    <row r="8" spans="2:15" ht="19.5" customHeight="1" x14ac:dyDescent="0.15">
      <c r="B8" s="57"/>
      <c r="C8" s="57"/>
      <c r="D8" s="57"/>
      <c r="E8" s="57"/>
      <c r="F8" s="57"/>
      <c r="G8" s="552"/>
      <c r="H8" s="552"/>
      <c r="I8" s="552"/>
      <c r="J8" s="552"/>
      <c r="K8" s="552"/>
      <c r="L8" s="552"/>
      <c r="M8" s="552"/>
      <c r="N8" s="57"/>
      <c r="O8" s="57"/>
    </row>
    <row r="9" spans="2:15" ht="28" x14ac:dyDescent="0.3">
      <c r="B9" s="57"/>
      <c r="C9" s="58" t="s">
        <v>437</v>
      </c>
      <c r="D9" s="57"/>
      <c r="E9" s="59" t="s">
        <v>80</v>
      </c>
      <c r="F9" s="57"/>
      <c r="G9" s="552"/>
      <c r="H9" s="552"/>
      <c r="I9" s="552"/>
      <c r="J9" s="552"/>
      <c r="K9" s="552"/>
      <c r="L9" s="552"/>
      <c r="M9" s="552"/>
      <c r="N9" s="551"/>
      <c r="O9" s="57"/>
    </row>
    <row r="10" spans="2:15" ht="19.5" customHeight="1" x14ac:dyDescent="0.15">
      <c r="B10" s="57"/>
      <c r="C10" s="60"/>
      <c r="D10" s="57"/>
      <c r="E10" s="57"/>
      <c r="F10" s="57"/>
      <c r="G10" s="552"/>
      <c r="H10" s="552"/>
      <c r="I10" s="552"/>
      <c r="J10" s="552"/>
      <c r="K10" s="552"/>
      <c r="L10" s="552"/>
      <c r="M10" s="552"/>
      <c r="N10" s="57"/>
      <c r="O10" s="57"/>
    </row>
    <row r="11" spans="2:15" s="545" customFormat="1" ht="19.5" customHeight="1" x14ac:dyDescent="0.2">
      <c r="B11" s="543"/>
      <c r="C11" s="544" t="s">
        <v>81</v>
      </c>
      <c r="D11" s="543"/>
      <c r="E11" s="543"/>
      <c r="F11" s="543"/>
      <c r="G11" s="548"/>
      <c r="H11" s="548"/>
      <c r="I11" s="548"/>
      <c r="J11" s="548"/>
      <c r="K11" s="548"/>
      <c r="L11" s="548"/>
      <c r="M11" s="548"/>
      <c r="N11" s="543"/>
      <c r="O11" s="543"/>
    </row>
    <row r="12" spans="2:15" s="545" customFormat="1" ht="19.5" customHeight="1" x14ac:dyDescent="0.2">
      <c r="B12" s="543"/>
      <c r="C12" s="544"/>
      <c r="D12" s="543"/>
      <c r="E12" s="543"/>
      <c r="F12" s="543"/>
      <c r="G12" s="548"/>
      <c r="H12" s="548"/>
      <c r="I12" s="548"/>
      <c r="J12" s="548"/>
      <c r="K12" s="548"/>
      <c r="L12" s="548"/>
      <c r="M12" s="548"/>
      <c r="N12" s="543"/>
      <c r="O12" s="543"/>
    </row>
    <row r="13" spans="2:15" s="545" customFormat="1" ht="19.5" customHeight="1" x14ac:dyDescent="0.2">
      <c r="B13" s="543"/>
      <c r="C13" s="559" t="s">
        <v>639</v>
      </c>
      <c r="D13" s="553"/>
      <c r="E13" s="569" t="s">
        <v>640</v>
      </c>
      <c r="F13" s="569"/>
      <c r="G13" s="554"/>
      <c r="H13" s="570" t="s">
        <v>116</v>
      </c>
      <c r="I13" s="570"/>
      <c r="J13" s="554"/>
      <c r="K13" s="574" t="s">
        <v>73</v>
      </c>
      <c r="L13" s="574"/>
      <c r="M13" s="548"/>
      <c r="N13" s="543"/>
      <c r="O13" s="543"/>
    </row>
    <row r="14" spans="2:15" s="545" customFormat="1" ht="19.5" customHeight="1" x14ac:dyDescent="0.2">
      <c r="B14" s="543"/>
      <c r="C14" s="555" t="str">
        <f>'Payroll 2020'!A1</f>
        <v>Payroll - 2020</v>
      </c>
      <c r="D14" s="556"/>
      <c r="E14" s="555" t="str">
        <f>TURNOVER!A1</f>
        <v>Sales breakdown</v>
      </c>
      <c r="F14" s="556"/>
      <c r="G14" s="554"/>
      <c r="H14" s="555" t="str">
        <f>'Operating Expenses 2020'!A1</f>
        <v>Operating Expenses - 2020</v>
      </c>
      <c r="I14" s="554"/>
      <c r="J14" s="554"/>
      <c r="K14" s="555" t="str">
        <f>'Income Statement 2020'!A1</f>
        <v>Income Statement - 2020</v>
      </c>
      <c r="L14" s="557"/>
      <c r="M14" s="548"/>
      <c r="N14" s="543"/>
      <c r="O14" s="543"/>
    </row>
    <row r="15" spans="2:15" s="545" customFormat="1" ht="19.5" customHeight="1" x14ac:dyDescent="0.2">
      <c r="B15" s="543"/>
      <c r="C15" s="547" t="str">
        <f>'Payroll 2020-2024'!A1</f>
        <v>Payroll - 2020-2024</v>
      </c>
      <c r="D15" s="543"/>
      <c r="E15" s="547" t="str">
        <f>'White label websites (WLW)'!A1</f>
        <v>BM1 : White label websites</v>
      </c>
      <c r="F15" s="543"/>
      <c r="G15" s="548"/>
      <c r="H15" s="547" t="str">
        <f>'Operating Expenses 2020-2024'!A1</f>
        <v>Operating Expenses - 2020-2024</v>
      </c>
      <c r="I15" s="548"/>
      <c r="J15" s="548"/>
      <c r="K15" s="547" t="str">
        <f>'Income Statement 2020-2024'!A1</f>
        <v>Income Statement - 2020-2024</v>
      </c>
      <c r="L15" s="546"/>
      <c r="M15" s="548"/>
      <c r="N15" s="543"/>
      <c r="O15" s="543"/>
    </row>
    <row r="16" spans="2:15" s="545" customFormat="1" ht="19.5" customHeight="1" x14ac:dyDescent="0.2">
      <c r="B16" s="543"/>
      <c r="C16" s="546"/>
      <c r="D16" s="543"/>
      <c r="E16" s="547" t="str">
        <f>'WLW Side revenues'!A1</f>
        <v>BM2 : WLW Side revenues</v>
      </c>
      <c r="F16" s="543"/>
      <c r="G16" s="548"/>
      <c r="H16" s="546"/>
      <c r="I16" s="546"/>
      <c r="J16" s="548"/>
      <c r="K16" s="548"/>
      <c r="L16" s="548"/>
      <c r="M16" s="548"/>
      <c r="N16" s="543"/>
      <c r="O16" s="543"/>
    </row>
    <row r="17" spans="2:15" s="545" customFormat="1" ht="19.5" customHeight="1" x14ac:dyDescent="0.2">
      <c r="B17" s="543"/>
      <c r="C17" s="546"/>
      <c r="D17" s="543"/>
      <c r="E17" s="547" t="str">
        <f>Advertising!A1</f>
        <v>BM3 : Advertising</v>
      </c>
      <c r="F17" s="543"/>
      <c r="G17" s="548"/>
      <c r="H17" s="546"/>
      <c r="I17" s="546"/>
      <c r="J17" s="548"/>
      <c r="K17" s="548"/>
      <c r="L17" s="548"/>
      <c r="M17" s="548"/>
      <c r="N17" s="543"/>
      <c r="O17" s="543"/>
    </row>
    <row r="18" spans="2:15" s="545" customFormat="1" ht="19.5" customHeight="1" x14ac:dyDescent="0.2">
      <c r="B18" s="543"/>
      <c r="C18" s="546"/>
      <c r="D18" s="543"/>
      <c r="E18" s="547" t="str">
        <f>'Sponsoring marketplace'!A1</f>
        <v>BM4 : Sponsoring marketplace</v>
      </c>
      <c r="F18" s="543"/>
      <c r="G18" s="548"/>
      <c r="H18" s="546"/>
      <c r="I18" s="546"/>
      <c r="J18" s="548"/>
      <c r="K18" s="548"/>
      <c r="L18" s="548"/>
      <c r="M18" s="548"/>
      <c r="N18" s="543"/>
      <c r="O18" s="543"/>
    </row>
    <row r="19" spans="2:15" s="545" customFormat="1" ht="19.5" customHeight="1" x14ac:dyDescent="0.2">
      <c r="B19" s="543"/>
      <c r="C19" s="546"/>
      <c r="D19" s="543"/>
      <c r="E19" s="547" t="str">
        <f>'Digital goods marketplace'!A1</f>
        <v>BM5 : Digital goods marketplace</v>
      </c>
      <c r="F19" s="543"/>
      <c r="G19" s="548"/>
      <c r="H19" s="546"/>
      <c r="I19" s="546"/>
      <c r="J19" s="548"/>
      <c r="K19" s="548"/>
      <c r="L19" s="548"/>
      <c r="M19" s="548"/>
      <c r="N19" s="543"/>
      <c r="O19" s="543"/>
    </row>
    <row r="20" spans="2:15" s="545" customFormat="1" ht="19.5" customHeight="1" x14ac:dyDescent="0.2">
      <c r="B20" s="543"/>
      <c r="C20" s="546"/>
      <c r="D20" s="543"/>
      <c r="E20" s="547" t="str">
        <f>'Media rights marketplace'!A1</f>
        <v>BM6 : Media rights marketplace</v>
      </c>
      <c r="F20" s="543"/>
      <c r="G20" s="548"/>
      <c r="H20" s="546"/>
      <c r="I20" s="546"/>
      <c r="J20" s="548"/>
      <c r="K20" s="546"/>
      <c r="L20" s="548"/>
      <c r="M20" s="548"/>
      <c r="N20" s="543"/>
      <c r="O20" s="543"/>
    </row>
    <row r="21" spans="2:15" s="545" customFormat="1" ht="19.5" customHeight="1" x14ac:dyDescent="0.2">
      <c r="B21" s="543"/>
      <c r="C21" s="546"/>
      <c r="D21" s="543"/>
      <c r="E21" s="547" t="str">
        <f>Titrisation!A1</f>
        <v>BM7 : Titrisation</v>
      </c>
      <c r="F21" s="543"/>
      <c r="G21" s="548"/>
      <c r="H21" s="546"/>
      <c r="I21" s="546"/>
      <c r="J21" s="548"/>
      <c r="K21" s="546"/>
      <c r="L21" s="548"/>
      <c r="M21" s="548"/>
      <c r="N21" s="543"/>
      <c r="O21" s="543"/>
    </row>
    <row r="22" spans="2:15" s="545" customFormat="1" ht="19.5" customHeight="1" x14ac:dyDescent="0.2">
      <c r="B22" s="543"/>
      <c r="C22" s="546"/>
      <c r="D22" s="543"/>
      <c r="E22" s="547" t="s">
        <v>651</v>
      </c>
      <c r="F22" s="543"/>
      <c r="G22" s="548"/>
      <c r="H22" s="546"/>
      <c r="I22" s="546"/>
      <c r="J22" s="548"/>
      <c r="K22" s="546"/>
      <c r="L22" s="548"/>
      <c r="M22" s="548"/>
      <c r="N22" s="543"/>
      <c r="O22" s="543"/>
    </row>
    <row r="23" spans="2:15" s="545" customFormat="1" ht="19.5" customHeight="1" x14ac:dyDescent="0.2">
      <c r="B23" s="543"/>
      <c r="C23" s="546"/>
      <c r="D23" s="543"/>
      <c r="E23" s="547"/>
      <c r="F23" s="543"/>
      <c r="G23" s="548"/>
      <c r="H23" s="546"/>
      <c r="I23" s="546"/>
      <c r="J23" s="548"/>
      <c r="K23" s="546"/>
      <c r="L23" s="548"/>
      <c r="M23" s="548"/>
      <c r="N23" s="543"/>
      <c r="O23" s="543"/>
    </row>
    <row r="24" spans="2:15" s="545" customFormat="1" ht="19.5" customHeight="1" x14ac:dyDescent="0.2">
      <c r="B24" s="543"/>
      <c r="C24" s="560" t="s">
        <v>641</v>
      </c>
      <c r="D24" s="556"/>
      <c r="E24" s="573" t="s">
        <v>643</v>
      </c>
      <c r="F24" s="573"/>
      <c r="G24" s="554"/>
      <c r="H24" s="571" t="s">
        <v>642</v>
      </c>
      <c r="I24" s="571"/>
      <c r="J24" s="554"/>
      <c r="K24" s="572" t="s">
        <v>635</v>
      </c>
      <c r="L24" s="572"/>
      <c r="M24" s="548"/>
      <c r="N24" s="543"/>
      <c r="O24" s="543"/>
    </row>
    <row r="25" spans="2:15" s="545" customFormat="1" ht="19.5" customHeight="1" x14ac:dyDescent="0.2">
      <c r="B25" s="543"/>
      <c r="C25" s="547" t="str">
        <f>'Balance Sheet 2020'!A1</f>
        <v>Balance Sheet 2020</v>
      </c>
      <c r="D25" s="543"/>
      <c r="E25" s="547" t="str">
        <f>'Cash Flow Statement 2020'!A1</f>
        <v>Cash Flow Statement 2020</v>
      </c>
      <c r="F25" s="543"/>
      <c r="G25" s="548"/>
      <c r="H25" s="547" t="str">
        <f>'Financial Ratio Analysis'!A1</f>
        <v>Financial Ratio Analysis</v>
      </c>
      <c r="I25" s="548"/>
      <c r="J25" s="548"/>
      <c r="K25" s="547" t="str">
        <f>'KPI Dashboard'!A1</f>
        <v>KPI Dashboard</v>
      </c>
      <c r="L25" s="547"/>
      <c r="M25" s="548"/>
      <c r="N25" s="543"/>
      <c r="O25" s="543"/>
    </row>
    <row r="26" spans="2:15" s="545" customFormat="1" ht="19.5" customHeight="1" x14ac:dyDescent="0.2">
      <c r="B26" s="543"/>
      <c r="C26" s="547" t="str">
        <f>'Balance Sheet 2020-2024'!A1</f>
        <v>Balance Sheet - 2020-2024</v>
      </c>
      <c r="D26" s="543"/>
      <c r="E26" s="547" t="str">
        <f>'Cash Flow Statement 2020-2024'!A1</f>
        <v>Cash Flow Statement - 2020-2024</v>
      </c>
      <c r="F26" s="543"/>
      <c r="G26" s="548"/>
      <c r="H26" s="547" t="str">
        <f>'WEBSITES AUDIENCE'!A1</f>
        <v>Websites audience</v>
      </c>
      <c r="I26" s="548"/>
      <c r="J26" s="548"/>
      <c r="K26" s="547" t="str">
        <f>'KPI Tracking data'!A1</f>
        <v>KPI Tracking data</v>
      </c>
      <c r="L26" s="547"/>
      <c r="M26" s="548"/>
      <c r="N26" s="543"/>
      <c r="O26" s="543"/>
    </row>
    <row r="27" spans="2:15" s="545" customFormat="1" ht="19.5" customHeight="1" x14ac:dyDescent="0.2">
      <c r="B27" s="543"/>
      <c r="C27" s="546"/>
      <c r="D27" s="548"/>
      <c r="E27" s="546"/>
      <c r="F27" s="548"/>
      <c r="G27" s="548"/>
      <c r="H27" s="546"/>
      <c r="I27" s="548"/>
      <c r="J27" s="548"/>
      <c r="K27" s="547" t="str">
        <f>'Spending dashboard'!A1</f>
        <v>Spending dashboard</v>
      </c>
      <c r="L27" s="547"/>
      <c r="M27" s="548"/>
      <c r="N27" s="543"/>
      <c r="O27" s="543"/>
    </row>
    <row r="28" spans="2:15" s="545" customFormat="1" ht="19.5" customHeight="1" x14ac:dyDescent="0.2">
      <c r="B28" s="543"/>
      <c r="C28" s="553"/>
      <c r="D28" s="543"/>
      <c r="E28" s="546"/>
      <c r="F28" s="548"/>
      <c r="G28" s="548"/>
      <c r="H28" s="548"/>
      <c r="I28" s="548"/>
      <c r="J28" s="548"/>
      <c r="K28" s="547" t="str">
        <f>'Spending tracking data'!A1</f>
        <v>Spending tracking data</v>
      </c>
      <c r="L28" s="547"/>
      <c r="M28" s="548"/>
      <c r="N28" s="543"/>
      <c r="O28" s="543"/>
    </row>
    <row r="29" spans="2:15" s="101" customFormat="1" ht="19.5" customHeight="1" x14ac:dyDescent="0.2">
      <c r="B29" s="102"/>
      <c r="C29" s="558"/>
      <c r="D29" s="102"/>
      <c r="E29" s="103"/>
      <c r="F29" s="549"/>
      <c r="G29" s="549"/>
      <c r="H29" s="549"/>
      <c r="I29" s="549"/>
      <c r="J29" s="549"/>
      <c r="K29" s="550"/>
      <c r="L29" s="549"/>
      <c r="M29" s="549"/>
      <c r="N29" s="102"/>
      <c r="O29" s="102"/>
    </row>
    <row r="30" spans="2:15" ht="19.5" customHeight="1" x14ac:dyDescent="0.15">
      <c r="B30" s="551"/>
      <c r="C30" s="551"/>
      <c r="D30" s="551"/>
      <c r="E30" s="551"/>
      <c r="F30" s="551"/>
      <c r="G30" s="551"/>
      <c r="H30" s="551"/>
      <c r="I30" s="551"/>
      <c r="J30" s="551"/>
      <c r="K30" s="551"/>
      <c r="L30" s="551"/>
      <c r="M30" s="551"/>
      <c r="N30" s="551"/>
      <c r="O30" s="551"/>
    </row>
    <row r="31" spans="2:15" ht="19.5" customHeight="1" x14ac:dyDescent="0.15"/>
    <row r="32" spans="2:15" ht="19.5" customHeight="1" x14ac:dyDescent="0.15"/>
    <row r="33" ht="19.5" customHeight="1" x14ac:dyDescent="0.15"/>
    <row r="34" ht="19.5" customHeight="1" x14ac:dyDescent="0.15"/>
    <row r="35" ht="19.5" customHeight="1" x14ac:dyDescent="0.15"/>
    <row r="36" ht="19.5" customHeight="1" x14ac:dyDescent="0.15"/>
    <row r="37" ht="19.5" customHeight="1" x14ac:dyDescent="0.15"/>
    <row r="38" ht="19.5" customHeight="1" x14ac:dyDescent="0.15"/>
    <row r="39" ht="19.5" customHeight="1" x14ac:dyDescent="0.15"/>
  </sheetData>
  <mergeCells count="6">
    <mergeCell ref="E13:F13"/>
    <mergeCell ref="H13:I13"/>
    <mergeCell ref="H24:I24"/>
    <mergeCell ref="K24:L24"/>
    <mergeCell ref="E24:F24"/>
    <mergeCell ref="K13:L13"/>
  </mergeCells>
  <hyperlinks>
    <hyperlink ref="C14" location="'Payroll 2020'!A1" display="Payroll 2020" xr:uid="{00000000-0004-0000-0000-000001000000}"/>
    <hyperlink ref="C15" location="'Payroll 2020-2024'!A1" display="Payroll 2020-2024" xr:uid="{00000000-0004-0000-0000-000002000000}"/>
    <hyperlink ref="K14" location="'Income Statement 2020'!A1" display="Income Statement 2020" xr:uid="{00000000-0004-0000-0000-000003000000}"/>
    <hyperlink ref="K15" location="'Income Statement 2020-2024'!A1" display="Income Statement 2020-2024" xr:uid="{00000000-0004-0000-0000-000004000000}"/>
    <hyperlink ref="C25" location="'Balance Sheet 2020'!A1" display="Balance Sheet 2020" xr:uid="{00000000-0004-0000-0000-000005000000}"/>
    <hyperlink ref="C26" location="'Balance Sheet 2020-2024'!A1" display="Balance Sheet 2020-2024" xr:uid="{00000000-0004-0000-0000-000006000000}"/>
    <hyperlink ref="E14" location="'Sales breakdown'!A1" display="Sales breakdown" xr:uid="{00000000-0004-0000-0000-00000A000000}"/>
    <hyperlink ref="E15" location="'WLW Side revenues'!A1" display="While Label Websites" xr:uid="{00000000-0004-0000-0000-00000B000000}"/>
    <hyperlink ref="E16" location="'WLW Side revenues'!A1" display="WLW Sides businesses" xr:uid="{00000000-0004-0000-0000-00000C000000}"/>
    <hyperlink ref="E17" location="Advertising!A1" display="Advertsing" xr:uid="{00000000-0004-0000-0000-00000D000000}"/>
    <hyperlink ref="E18" location="'Sponsoring marketplace'!A1" display="Sponsoring marketplace" xr:uid="{453B04DC-811B-0B42-B8A3-1CDDF63E48CC}"/>
    <hyperlink ref="E19" location="'Digital goods marketplace'!A1" display="Digital goods marketplace" xr:uid="{BB11B3C2-E57B-ED49-968D-D6E408F20B78}"/>
    <hyperlink ref="E20" location="'Media rights marketplace'!A1" display="Media rights marketplace" xr:uid="{2FB97574-3DDF-004A-98EA-5F4005A516F9}"/>
    <hyperlink ref="E21" location="Titrisation!A1" display="Titrisation" xr:uid="{68E847AE-2AF5-7244-A608-5FD6F2F76CBE}"/>
    <hyperlink ref="H14" location="'Operating Expenses 2020'!A1" display="Operating expenses 2020" xr:uid="{0C18BD72-D08B-7E46-8216-20A4145D3716}"/>
    <hyperlink ref="H15" location="'Operating Expenses 2020-2024'!A1" display="Operating expenses 2020-2024" xr:uid="{430F62BC-CA7D-BB4A-AA49-62E61DEC0A3E}"/>
    <hyperlink ref="E25" location="'Cash Flow Statement 2020'!A1" display="Cash Flow Statement 2020" xr:uid="{F7DA536B-FA14-044B-8A23-29A994B4FA6F}"/>
    <hyperlink ref="E26" location="'Cash Flow Statement 2020-2024'!A1" display="Cash Flow Statement 2020-2024" xr:uid="{B2A18D9A-13EC-7F4F-9845-1BC3F7662921}"/>
    <hyperlink ref="H25" location="'Financial Ratio Analysis'!A1" display="Financial Ratio Analysis" xr:uid="{EE80EB28-64F7-E540-9BD7-BEDAD67AAF13}"/>
    <hyperlink ref="H26" location="'WEBSITES AUDIENCE'!A1" display="Website audience" xr:uid="{6E09A584-6FED-ED4D-B97B-1BC796026670}"/>
    <hyperlink ref="K28" location="'Spending tracking data'!A1" display="Spending tracking data" xr:uid="{E62FB542-4B09-6C40-A4C8-48F49A3E2DC3}"/>
    <hyperlink ref="K27" location="'Spending dashboard'!A1" display="Spending dashboard" xr:uid="{0A1F2B4E-CB53-004E-90F9-D2844F4BF759}"/>
    <hyperlink ref="K26" location="'KPI Tracking data'!A1" display="KPI tracking data" xr:uid="{A9CBD98C-463C-9349-8BBC-BBD073E76999}"/>
    <hyperlink ref="K25" location="'KPI Dashboard'!A1" display="KPI Dashboard" xr:uid="{61EC93EA-39D8-8340-A8D6-9E02CDD0331A}"/>
    <hyperlink ref="E22" location="'Cash to digital'!A1" display="BM8 : Cash to digital" xr:uid="{2514EEE8-8017-BF41-87E7-C696E9EE3E6E}"/>
  </hyperlinks>
  <pageMargins left="0.7" right="0.7" top="0.75" bottom="0.75" header="0.3" footer="0.3"/>
  <pageSetup scale="6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1E65D-802A-FC43-97C0-82B26B659D6B}">
  <sheetPr>
    <tabColor theme="6"/>
  </sheetPr>
  <dimension ref="A1:BD93"/>
  <sheetViews>
    <sheetView showGridLines="0" topLeftCell="A18" zoomScale="171" zoomScaleNormal="90" workbookViewId="0">
      <selection activeCell="B51" sqref="B51"/>
    </sheetView>
  </sheetViews>
  <sheetFormatPr baseColWidth="10" defaultColWidth="9.1640625" defaultRowHeight="16" outlineLevelRow="1" x14ac:dyDescent="0.25"/>
  <cols>
    <col min="1" max="1" width="33.83203125" style="1" bestFit="1" customWidth="1"/>
    <col min="2" max="2" width="11" style="1" customWidth="1"/>
    <col min="3" max="3" width="10.33203125" style="1" customWidth="1"/>
    <col min="4" max="4" width="11.5" style="1" customWidth="1"/>
    <col min="5" max="5" width="11.1640625" style="1" customWidth="1"/>
    <col min="6" max="6" width="10.6640625" style="1" customWidth="1"/>
    <col min="7" max="7" width="11.6640625" style="1" customWidth="1"/>
    <col min="8" max="8" width="10.83203125" style="1" customWidth="1"/>
    <col min="9" max="10" width="11.5" style="1" customWidth="1"/>
    <col min="11" max="12" width="11.33203125" style="1" customWidth="1"/>
    <col min="13" max="13" width="12.5" style="1" customWidth="1"/>
    <col min="14" max="14" width="11.6640625" style="1" customWidth="1"/>
    <col min="15" max="15" width="12.5" style="1" customWidth="1"/>
    <col min="16" max="56" width="13.83203125" style="1" bestFit="1" customWidth="1"/>
    <col min="57" max="16384" width="9.1640625" style="1"/>
  </cols>
  <sheetData>
    <row r="1" spans="1:14" s="4" customFormat="1" x14ac:dyDescent="0.25">
      <c r="A1" s="25" t="s">
        <v>649</v>
      </c>
    </row>
    <row r="2" spans="1:14" x14ac:dyDescent="0.25">
      <c r="A2" s="30" t="s">
        <v>463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09"/>
    </row>
    <row r="3" spans="1:14" s="151" customFormat="1" ht="35" customHeight="1" outlineLevel="1" x14ac:dyDescent="0.25">
      <c r="A3" s="189" t="s">
        <v>363</v>
      </c>
      <c r="B3" s="582" t="s">
        <v>351</v>
      </c>
      <c r="C3" s="582"/>
      <c r="D3" s="190" t="s">
        <v>356</v>
      </c>
      <c r="E3" s="190" t="s">
        <v>352</v>
      </c>
      <c r="F3" s="190" t="s">
        <v>353</v>
      </c>
      <c r="G3" s="583" t="s">
        <v>362</v>
      </c>
      <c r="H3" s="583"/>
      <c r="I3" s="582" t="s">
        <v>351</v>
      </c>
      <c r="J3" s="582"/>
      <c r="K3" s="190" t="s">
        <v>356</v>
      </c>
      <c r="L3" s="190" t="s">
        <v>352</v>
      </c>
      <c r="M3" s="190" t="s">
        <v>353</v>
      </c>
      <c r="N3" s="208"/>
    </row>
    <row r="4" spans="1:14" s="151" customFormat="1" outlineLevel="1" x14ac:dyDescent="0.25">
      <c r="A4" s="104" t="s">
        <v>182</v>
      </c>
      <c r="B4" s="585">
        <v>1</v>
      </c>
      <c r="C4" s="585"/>
      <c r="D4" s="177">
        <v>3</v>
      </c>
      <c r="E4" s="179">
        <f>'Payroll 2020'!E357*7</f>
        <v>280</v>
      </c>
      <c r="F4" s="183">
        <f>E4*D4*B4</f>
        <v>840</v>
      </c>
      <c r="G4" s="153"/>
      <c r="H4" s="153"/>
      <c r="I4" s="586">
        <v>1</v>
      </c>
      <c r="J4" s="586"/>
      <c r="K4" s="186">
        <v>10</v>
      </c>
      <c r="L4" s="179">
        <f>E4</f>
        <v>280</v>
      </c>
      <c r="M4" s="183">
        <f>L4*K4*I4</f>
        <v>2800</v>
      </c>
      <c r="N4" s="150"/>
    </row>
    <row r="5" spans="1:14" s="151" customFormat="1" outlineLevel="1" x14ac:dyDescent="0.25">
      <c r="A5" s="104" t="s">
        <v>183</v>
      </c>
      <c r="B5" s="585">
        <v>3</v>
      </c>
      <c r="C5" s="585"/>
      <c r="D5" s="177">
        <v>50</v>
      </c>
      <c r="E5" s="179">
        <f>'Payroll 2020'!E358*7</f>
        <v>196</v>
      </c>
      <c r="F5" s="183">
        <f t="shared" ref="F5:F11" si="0">E5*D5*B5</f>
        <v>29400</v>
      </c>
      <c r="G5" s="153"/>
      <c r="H5" s="153"/>
      <c r="I5" s="586">
        <v>1</v>
      </c>
      <c r="J5" s="586"/>
      <c r="K5" s="186">
        <f>B19/10</f>
        <v>6</v>
      </c>
      <c r="L5" s="179">
        <f t="shared" ref="L5:L11" si="1">E5</f>
        <v>196</v>
      </c>
      <c r="M5" s="183">
        <f t="shared" ref="M5:M11" si="2">L5*K5*I5</f>
        <v>1176</v>
      </c>
    </row>
    <row r="6" spans="1:14" s="151" customFormat="1" ht="16" customHeight="1" outlineLevel="1" x14ac:dyDescent="0.25">
      <c r="A6" s="18" t="s">
        <v>184</v>
      </c>
      <c r="B6" s="587">
        <v>1</v>
      </c>
      <c r="C6" s="587"/>
      <c r="D6" s="177">
        <v>20</v>
      </c>
      <c r="E6" s="179">
        <f>'Payroll 2020'!E361*7</f>
        <v>126</v>
      </c>
      <c r="F6" s="183">
        <f t="shared" si="0"/>
        <v>2520</v>
      </c>
      <c r="I6" s="585">
        <v>1</v>
      </c>
      <c r="J6" s="585"/>
      <c r="K6" s="185">
        <f>B19/10</f>
        <v>6</v>
      </c>
      <c r="L6" s="179">
        <f t="shared" si="1"/>
        <v>126</v>
      </c>
      <c r="M6" s="183">
        <f t="shared" si="2"/>
        <v>756</v>
      </c>
    </row>
    <row r="7" spans="1:14" s="151" customFormat="1" ht="16" customHeight="1" outlineLevel="1" x14ac:dyDescent="0.25">
      <c r="A7" s="18" t="s">
        <v>185</v>
      </c>
      <c r="B7" s="584">
        <v>1</v>
      </c>
      <c r="C7" s="584"/>
      <c r="D7" s="184">
        <f>B16</f>
        <v>150</v>
      </c>
      <c r="E7" s="180">
        <f>'Payroll 2020'!E362*7</f>
        <v>161</v>
      </c>
      <c r="F7" s="183">
        <f t="shared" si="0"/>
        <v>24150</v>
      </c>
      <c r="G7" s="150"/>
      <c r="H7" s="150"/>
      <c r="I7" s="585">
        <v>1</v>
      </c>
      <c r="J7" s="585"/>
      <c r="K7" s="185">
        <f>B19</f>
        <v>60</v>
      </c>
      <c r="L7" s="179">
        <f t="shared" si="1"/>
        <v>161</v>
      </c>
      <c r="M7" s="183">
        <f t="shared" si="2"/>
        <v>9660</v>
      </c>
    </row>
    <row r="8" spans="1:14" s="151" customFormat="1" outlineLevel="1" x14ac:dyDescent="0.25">
      <c r="A8" s="18" t="s">
        <v>189</v>
      </c>
      <c r="B8" s="585">
        <v>1</v>
      </c>
      <c r="C8" s="585"/>
      <c r="D8" s="177">
        <v>50</v>
      </c>
      <c r="E8" s="179">
        <f>'Payroll 2020'!E365*7</f>
        <v>210</v>
      </c>
      <c r="F8" s="183">
        <f t="shared" si="0"/>
        <v>10500</v>
      </c>
      <c r="G8" s="153"/>
      <c r="H8" s="153"/>
      <c r="I8" s="586">
        <v>0</v>
      </c>
      <c r="J8" s="586"/>
      <c r="K8" s="186">
        <v>0</v>
      </c>
      <c r="L8" s="179">
        <f t="shared" si="1"/>
        <v>210</v>
      </c>
      <c r="M8" s="183">
        <f t="shared" si="2"/>
        <v>0</v>
      </c>
    </row>
    <row r="9" spans="1:14" s="151" customFormat="1" outlineLevel="1" x14ac:dyDescent="0.25">
      <c r="A9" s="18" t="s">
        <v>190</v>
      </c>
      <c r="B9" s="587">
        <v>1</v>
      </c>
      <c r="C9" s="587"/>
      <c r="D9" s="184">
        <f>B16</f>
        <v>150</v>
      </c>
      <c r="E9" s="179">
        <f>'Payroll 2020'!E366*7</f>
        <v>52.5</v>
      </c>
      <c r="F9" s="183">
        <f t="shared" si="0"/>
        <v>7875</v>
      </c>
      <c r="I9" s="585">
        <v>1</v>
      </c>
      <c r="J9" s="585"/>
      <c r="K9" s="185">
        <f>B19</f>
        <v>60</v>
      </c>
      <c r="L9" s="179">
        <f t="shared" si="1"/>
        <v>52.5</v>
      </c>
      <c r="M9" s="183">
        <f t="shared" si="2"/>
        <v>3150</v>
      </c>
    </row>
    <row r="10" spans="1:14" s="154" customFormat="1" ht="17" customHeight="1" outlineLevel="1" x14ac:dyDescent="0.25">
      <c r="A10" s="18" t="s">
        <v>191</v>
      </c>
      <c r="B10" s="585">
        <v>2</v>
      </c>
      <c r="C10" s="585"/>
      <c r="D10" s="185">
        <f>B16</f>
        <v>150</v>
      </c>
      <c r="E10" s="181">
        <f>'Payroll 2020'!E367*7</f>
        <v>70</v>
      </c>
      <c r="F10" s="183">
        <f t="shared" si="0"/>
        <v>21000</v>
      </c>
      <c r="I10" s="585">
        <v>1</v>
      </c>
      <c r="J10" s="585"/>
      <c r="K10" s="185">
        <f>B19</f>
        <v>60</v>
      </c>
      <c r="L10" s="179">
        <f t="shared" si="1"/>
        <v>70</v>
      </c>
      <c r="M10" s="183">
        <f t="shared" si="2"/>
        <v>4200</v>
      </c>
    </row>
    <row r="11" spans="1:14" s="151" customFormat="1" outlineLevel="1" x14ac:dyDescent="0.25">
      <c r="A11" s="18" t="s">
        <v>350</v>
      </c>
      <c r="B11" s="585">
        <v>4</v>
      </c>
      <c r="C11" s="585"/>
      <c r="D11" s="185">
        <f>B16</f>
        <v>150</v>
      </c>
      <c r="E11" s="182">
        <f>'Payroll 2020'!E377*7</f>
        <v>52.5</v>
      </c>
      <c r="F11" s="183">
        <f t="shared" si="0"/>
        <v>31500</v>
      </c>
      <c r="G11" s="175"/>
      <c r="H11" s="175"/>
      <c r="I11" s="585">
        <v>2</v>
      </c>
      <c r="J11" s="585"/>
      <c r="K11" s="185">
        <v>0</v>
      </c>
      <c r="L11" s="179">
        <f t="shared" si="1"/>
        <v>52.5</v>
      </c>
      <c r="M11" s="183">
        <f t="shared" si="2"/>
        <v>0</v>
      </c>
    </row>
    <row r="12" spans="1:14" s="151" customFormat="1" outlineLevel="1" x14ac:dyDescent="0.25">
      <c r="A12" s="18" t="s">
        <v>194</v>
      </c>
      <c r="B12" s="588">
        <v>1</v>
      </c>
      <c r="C12" s="588"/>
      <c r="D12" s="185">
        <f>B16/6</f>
        <v>25</v>
      </c>
      <c r="E12" s="179">
        <f>'Payroll 2020'!E371*7</f>
        <v>175</v>
      </c>
      <c r="F12" s="183">
        <f>E12*D12*B12</f>
        <v>4375</v>
      </c>
      <c r="H12" s="156"/>
      <c r="I12" s="586">
        <v>0</v>
      </c>
      <c r="J12" s="586"/>
      <c r="K12" s="185">
        <v>0</v>
      </c>
      <c r="L12" s="179">
        <f>E12</f>
        <v>175</v>
      </c>
      <c r="M12" s="183">
        <f>L12*K12*I12</f>
        <v>0</v>
      </c>
    </row>
    <row r="13" spans="1:14" s="151" customFormat="1" outlineLevel="1" x14ac:dyDescent="0.25">
      <c r="A13" s="17" t="s">
        <v>361</v>
      </c>
      <c r="B13" s="589">
        <f>SUM(B4:C12)</f>
        <v>15</v>
      </c>
      <c r="C13" s="589"/>
      <c r="D13" s="187">
        <f>SUM(D4:D12)</f>
        <v>748</v>
      </c>
      <c r="E13" s="178"/>
      <c r="F13" s="188">
        <f>SUM(F4:F12)</f>
        <v>132160</v>
      </c>
      <c r="H13" s="156"/>
      <c r="I13" s="589">
        <f>SUM(I4:J12)</f>
        <v>8</v>
      </c>
      <c r="J13" s="589"/>
      <c r="K13" s="187">
        <f>SUM(K4:K12)</f>
        <v>202</v>
      </c>
      <c r="L13" s="178"/>
      <c r="M13" s="188">
        <f>SUM(M4:M12)</f>
        <v>21742</v>
      </c>
    </row>
    <row r="14" spans="1:14" s="151" customFormat="1" outlineLevel="1" x14ac:dyDescent="0.25">
      <c r="B14" s="155"/>
      <c r="E14" s="150"/>
      <c r="H14" s="156"/>
      <c r="I14" s="153"/>
      <c r="J14" s="153"/>
    </row>
    <row r="15" spans="1:14" s="151" customFormat="1" outlineLevel="1" x14ac:dyDescent="0.25">
      <c r="A15" s="150" t="s">
        <v>354</v>
      </c>
      <c r="B15" s="176">
        <v>44593</v>
      </c>
      <c r="E15" s="150"/>
      <c r="F15" s="150" t="s">
        <v>55</v>
      </c>
      <c r="H15" s="156"/>
      <c r="I15" s="153"/>
      <c r="J15" s="153"/>
    </row>
    <row r="16" spans="1:14" s="151" customFormat="1" outlineLevel="1" x14ac:dyDescent="0.25">
      <c r="A16" s="151" t="s">
        <v>356</v>
      </c>
      <c r="B16" s="173">
        <v>150</v>
      </c>
      <c r="C16" s="151">
        <f>ROUND(B16/31,0)</f>
        <v>5</v>
      </c>
      <c r="D16" s="151" t="s">
        <v>236</v>
      </c>
      <c r="F16" s="151" t="s">
        <v>366</v>
      </c>
      <c r="I16" s="183">
        <v>2000</v>
      </c>
      <c r="J16" s="151" t="s">
        <v>257</v>
      </c>
    </row>
    <row r="17" spans="1:13" s="151" customFormat="1" outlineLevel="1" x14ac:dyDescent="0.25">
      <c r="A17" s="151" t="s">
        <v>355</v>
      </c>
      <c r="B17" s="176">
        <f>B15+B16</f>
        <v>44743</v>
      </c>
      <c r="E17" s="150"/>
      <c r="F17" s="151" t="s">
        <v>256</v>
      </c>
      <c r="H17" s="156"/>
      <c r="I17" s="192">
        <v>1.4999999999999999E-2</v>
      </c>
      <c r="J17" s="151" t="s">
        <v>257</v>
      </c>
    </row>
    <row r="18" spans="1:13" s="151" customFormat="1" outlineLevel="1" x14ac:dyDescent="0.25">
      <c r="A18" s="150" t="s">
        <v>357</v>
      </c>
      <c r="B18" s="176">
        <f>B17+1</f>
        <v>44744</v>
      </c>
      <c r="F18" s="151" t="s">
        <v>365</v>
      </c>
      <c r="I18" s="193">
        <v>0.02</v>
      </c>
      <c r="J18" s="151" t="s">
        <v>257</v>
      </c>
    </row>
    <row r="19" spans="1:13" s="151" customFormat="1" outlineLevel="1" x14ac:dyDescent="0.25">
      <c r="A19" s="151" t="s">
        <v>356</v>
      </c>
      <c r="B19" s="173">
        <v>60</v>
      </c>
      <c r="C19" s="151">
        <f>ROUND(B19/31,0)</f>
        <v>2</v>
      </c>
      <c r="D19" s="151" t="s">
        <v>236</v>
      </c>
    </row>
    <row r="20" spans="1:13" s="151" customFormat="1" outlineLevel="1" x14ac:dyDescent="0.25">
      <c r="A20" s="151" t="s">
        <v>358</v>
      </c>
      <c r="B20" s="176">
        <f>B18+B19</f>
        <v>44804</v>
      </c>
      <c r="F20" s="150" t="s">
        <v>467</v>
      </c>
    </row>
    <row r="21" spans="1:13" s="151" customFormat="1" outlineLevel="1" x14ac:dyDescent="0.25">
      <c r="B21" s="176"/>
      <c r="F21" s="150" t="s">
        <v>469</v>
      </c>
      <c r="I21" s="176">
        <f>B20+1</f>
        <v>44805</v>
      </c>
    </row>
    <row r="22" spans="1:13" s="151" customFormat="1" outlineLevel="1" x14ac:dyDescent="0.25">
      <c r="B22" s="176"/>
      <c r="F22" s="151" t="s">
        <v>468</v>
      </c>
      <c r="I22" s="183">
        <v>15000</v>
      </c>
      <c r="J22" s="151" t="s">
        <v>257</v>
      </c>
    </row>
    <row r="23" spans="1:13" s="151" customFormat="1" x14ac:dyDescent="0.25">
      <c r="B23" s="176"/>
    </row>
    <row r="24" spans="1:13" s="151" customFormat="1" x14ac:dyDescent="0.25">
      <c r="A24" s="30" t="s">
        <v>377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1:13" s="151" customFormat="1" outlineLevel="1" x14ac:dyDescent="0.25">
      <c r="A25" s="150" t="s">
        <v>442</v>
      </c>
      <c r="F25" s="150" t="str">
        <f>A28</f>
        <v>Youtubers / Twitch streamers</v>
      </c>
      <c r="G25" s="176"/>
      <c r="I25" s="183"/>
    </row>
    <row r="26" spans="1:13" s="151" customFormat="1" outlineLevel="1" x14ac:dyDescent="0.25">
      <c r="A26" s="151" t="s">
        <v>443</v>
      </c>
      <c r="C26" s="183">
        <v>8000</v>
      </c>
      <c r="D26" s="151" t="s">
        <v>257</v>
      </c>
      <c r="F26" s="151" t="s">
        <v>450</v>
      </c>
      <c r="G26" s="176"/>
      <c r="J26" s="192">
        <v>1E-3</v>
      </c>
    </row>
    <row r="27" spans="1:13" s="151" customFormat="1" outlineLevel="1" x14ac:dyDescent="0.25">
      <c r="A27" s="151" t="s">
        <v>444</v>
      </c>
      <c r="C27" s="183">
        <v>30000</v>
      </c>
      <c r="D27" s="151" t="s">
        <v>257</v>
      </c>
      <c r="F27" s="151" t="s">
        <v>451</v>
      </c>
      <c r="G27" s="176"/>
      <c r="J27" s="192">
        <v>1.4999999999999999E-2</v>
      </c>
    </row>
    <row r="28" spans="1:13" s="151" customFormat="1" outlineLevel="1" x14ac:dyDescent="0.25">
      <c r="A28" s="151" t="s">
        <v>445</v>
      </c>
      <c r="C28" s="183">
        <v>5000</v>
      </c>
      <c r="D28" s="151" t="s">
        <v>257</v>
      </c>
      <c r="I28" s="153"/>
    </row>
    <row r="29" spans="1:13" s="151" customFormat="1" outlineLevel="1" x14ac:dyDescent="0.25">
      <c r="B29" s="176"/>
      <c r="I29" s="183"/>
    </row>
    <row r="30" spans="1:13" s="151" customFormat="1" outlineLevel="1" x14ac:dyDescent="0.25">
      <c r="A30" s="150" t="str">
        <f>A27</f>
        <v>Game publisher</v>
      </c>
      <c r="B30" s="176"/>
      <c r="F30" s="150" t="str">
        <f>A26</f>
        <v>Esports event organizer</v>
      </c>
      <c r="G30" s="176"/>
      <c r="H30" s="173"/>
    </row>
    <row r="31" spans="1:13" s="151" customFormat="1" outlineLevel="1" x14ac:dyDescent="0.25">
      <c r="A31" s="151" t="s">
        <v>449</v>
      </c>
      <c r="B31" s="176"/>
      <c r="C31" s="193">
        <v>0.03</v>
      </c>
      <c r="F31" s="151" t="s">
        <v>446</v>
      </c>
      <c r="G31" s="176"/>
      <c r="J31" s="193">
        <v>0.4</v>
      </c>
    </row>
    <row r="32" spans="1:13" s="151" customFormat="1" outlineLevel="1" x14ac:dyDescent="0.25">
      <c r="A32" s="151" t="s">
        <v>448</v>
      </c>
      <c r="B32" s="176"/>
      <c r="C32" s="192">
        <v>3.0000000000000001E-3</v>
      </c>
      <c r="F32" s="151" t="s">
        <v>447</v>
      </c>
      <c r="G32" s="176"/>
      <c r="J32" s="192">
        <v>4.0000000000000001E-3</v>
      </c>
    </row>
    <row r="33" spans="1:56" s="151" customFormat="1" outlineLevel="1" x14ac:dyDescent="0.25">
      <c r="B33" s="176"/>
      <c r="C33" s="193"/>
      <c r="G33" s="176"/>
      <c r="J33" s="193"/>
    </row>
    <row r="34" spans="1:56" s="151" customFormat="1" outlineLevel="1" x14ac:dyDescent="0.25"/>
    <row r="35" spans="1:56" s="151" customFormat="1" outlineLevel="1" x14ac:dyDescent="0.25">
      <c r="A35" s="151" t="s">
        <v>396</v>
      </c>
      <c r="C35" s="193">
        <v>0.15</v>
      </c>
      <c r="D35" s="151" t="s">
        <v>452</v>
      </c>
    </row>
    <row r="36" spans="1:56" s="151" customFormat="1" outlineLevel="1" x14ac:dyDescent="0.25">
      <c r="A36" s="151" t="s">
        <v>527</v>
      </c>
      <c r="C36" s="193">
        <v>0.5</v>
      </c>
    </row>
    <row r="37" spans="1:56" s="151" customFormat="1" outlineLevel="1" x14ac:dyDescent="0.25">
      <c r="A37" s="151" t="s">
        <v>460</v>
      </c>
      <c r="C37" s="193">
        <v>0.02</v>
      </c>
    </row>
    <row r="38" spans="1:56" s="151" customFormat="1" x14ac:dyDescent="0.25"/>
    <row r="39" spans="1:56" s="151" customFormat="1" x14ac:dyDescent="0.25">
      <c r="A39" s="27" t="s">
        <v>453</v>
      </c>
      <c r="B39" s="76">
        <f t="shared" ref="B39:M39" si="3">B71</f>
        <v>44593</v>
      </c>
      <c r="C39" s="76">
        <f t="shared" si="3"/>
        <v>44624</v>
      </c>
      <c r="D39" s="76">
        <f t="shared" si="3"/>
        <v>44655</v>
      </c>
      <c r="E39" s="76">
        <f t="shared" si="3"/>
        <v>44686</v>
      </c>
      <c r="F39" s="76">
        <f t="shared" si="3"/>
        <v>44717</v>
      </c>
      <c r="G39" s="76">
        <f t="shared" si="3"/>
        <v>44748</v>
      </c>
      <c r="H39" s="76">
        <f t="shared" si="3"/>
        <v>44779</v>
      </c>
      <c r="I39" s="76">
        <f t="shared" si="3"/>
        <v>44810</v>
      </c>
      <c r="J39" s="76">
        <f t="shared" si="3"/>
        <v>44841</v>
      </c>
      <c r="K39" s="76">
        <f t="shared" si="3"/>
        <v>44872</v>
      </c>
      <c r="L39" s="76">
        <f t="shared" si="3"/>
        <v>44903</v>
      </c>
      <c r="M39" s="76">
        <f t="shared" si="3"/>
        <v>44934</v>
      </c>
      <c r="N39" s="76">
        <f>M39+31</f>
        <v>44965</v>
      </c>
      <c r="O39" s="76">
        <f t="shared" ref="O39:BD39" si="4">N39+31</f>
        <v>44996</v>
      </c>
      <c r="P39" s="76">
        <f t="shared" si="4"/>
        <v>45027</v>
      </c>
      <c r="Q39" s="76">
        <f t="shared" si="4"/>
        <v>45058</v>
      </c>
      <c r="R39" s="76">
        <f t="shared" si="4"/>
        <v>45089</v>
      </c>
      <c r="S39" s="76">
        <f t="shared" si="4"/>
        <v>45120</v>
      </c>
      <c r="T39" s="76">
        <f t="shared" si="4"/>
        <v>45151</v>
      </c>
      <c r="U39" s="76">
        <f t="shared" si="4"/>
        <v>45182</v>
      </c>
      <c r="V39" s="76">
        <f t="shared" si="4"/>
        <v>45213</v>
      </c>
      <c r="W39" s="76">
        <f t="shared" si="4"/>
        <v>45244</v>
      </c>
      <c r="X39" s="76">
        <f t="shared" si="4"/>
        <v>45275</v>
      </c>
      <c r="Y39" s="76">
        <f t="shared" si="4"/>
        <v>45306</v>
      </c>
      <c r="Z39" s="76">
        <f t="shared" si="4"/>
        <v>45337</v>
      </c>
      <c r="AA39" s="76">
        <f t="shared" si="4"/>
        <v>45368</v>
      </c>
      <c r="AB39" s="76">
        <f t="shared" si="4"/>
        <v>45399</v>
      </c>
      <c r="AC39" s="76">
        <f t="shared" si="4"/>
        <v>45430</v>
      </c>
      <c r="AD39" s="76">
        <f t="shared" si="4"/>
        <v>45461</v>
      </c>
      <c r="AE39" s="76">
        <f t="shared" si="4"/>
        <v>45492</v>
      </c>
      <c r="AF39" s="76">
        <f t="shared" si="4"/>
        <v>45523</v>
      </c>
      <c r="AG39" s="76">
        <f t="shared" si="4"/>
        <v>45554</v>
      </c>
      <c r="AH39" s="76">
        <f t="shared" si="4"/>
        <v>45585</v>
      </c>
      <c r="AI39" s="76">
        <f t="shared" si="4"/>
        <v>45616</v>
      </c>
      <c r="AJ39" s="76">
        <f t="shared" si="4"/>
        <v>45647</v>
      </c>
      <c r="AK39" s="76">
        <f t="shared" si="4"/>
        <v>45678</v>
      </c>
      <c r="AL39" s="76">
        <f t="shared" si="4"/>
        <v>45709</v>
      </c>
      <c r="AM39" s="76">
        <f t="shared" si="4"/>
        <v>45740</v>
      </c>
      <c r="AN39" s="76">
        <f t="shared" si="4"/>
        <v>45771</v>
      </c>
      <c r="AO39" s="76">
        <f t="shared" si="4"/>
        <v>45802</v>
      </c>
      <c r="AP39" s="76">
        <f t="shared" si="4"/>
        <v>45833</v>
      </c>
      <c r="AQ39" s="76">
        <f t="shared" si="4"/>
        <v>45864</v>
      </c>
      <c r="AR39" s="76">
        <f t="shared" si="4"/>
        <v>45895</v>
      </c>
      <c r="AS39" s="76">
        <f t="shared" si="4"/>
        <v>45926</v>
      </c>
      <c r="AT39" s="76">
        <f t="shared" si="4"/>
        <v>45957</v>
      </c>
      <c r="AU39" s="76">
        <f t="shared" si="4"/>
        <v>45988</v>
      </c>
      <c r="AV39" s="76">
        <f t="shared" si="4"/>
        <v>46019</v>
      </c>
      <c r="AW39" s="76">
        <f t="shared" si="4"/>
        <v>46050</v>
      </c>
      <c r="AX39" s="76">
        <f t="shared" si="4"/>
        <v>46081</v>
      </c>
      <c r="AY39" s="76">
        <f t="shared" si="4"/>
        <v>46112</v>
      </c>
      <c r="AZ39" s="76">
        <f t="shared" si="4"/>
        <v>46143</v>
      </c>
      <c r="BA39" s="76">
        <f t="shared" si="4"/>
        <v>46174</v>
      </c>
      <c r="BB39" s="76">
        <f t="shared" si="4"/>
        <v>46205</v>
      </c>
      <c r="BC39" s="76">
        <f t="shared" si="4"/>
        <v>46236</v>
      </c>
      <c r="BD39" s="76">
        <f t="shared" si="4"/>
        <v>46267</v>
      </c>
    </row>
    <row r="40" spans="1:56" s="159" customFormat="1" ht="17" x14ac:dyDescent="0.25">
      <c r="A40" s="160" t="s">
        <v>454</v>
      </c>
      <c r="B40" s="236" t="str">
        <f>IFERROR(IF(SUM(B72:B73)&gt;0,"",HLOOKUP(B39,'WEBSITES AUDIENCE'!$B$91:$BI$92,2)),"0")</f>
        <v/>
      </c>
      <c r="C40" s="236" t="str">
        <f>IF(SUM(C72:C73)&gt;0,"",HLOOKUP(C39,'WEBSITES AUDIENCE'!$B$91:$BI$92,2))</f>
        <v/>
      </c>
      <c r="D40" s="236" t="str">
        <f>IF(SUM(D72:D73)&gt;0,"",HLOOKUP(D39,'WEBSITES AUDIENCE'!$B$91:$BI$92,2))</f>
        <v/>
      </c>
      <c r="E40" s="236" t="str">
        <f>IF(SUM(E72:E73)&gt;0,"",HLOOKUP(E39,'WEBSITES AUDIENCE'!$B$91:$BI$92,2))</f>
        <v/>
      </c>
      <c r="F40" s="236" t="str">
        <f>IF(SUM(F72:F73)&gt;0,"",HLOOKUP(F39,'WEBSITES AUDIENCE'!$B$91:$BI$92,2))</f>
        <v/>
      </c>
      <c r="G40" s="236" t="str">
        <f>IF(SUM(G72:G73)&gt;0,"",HLOOKUP(G39,'WEBSITES AUDIENCE'!$B$91:$BI$92,2))</f>
        <v/>
      </c>
      <c r="H40" s="236" t="str">
        <f>IF(SUM(H72:H73)&gt;0,"",HLOOKUP(H39,'WEBSITES AUDIENCE'!$B$91:$BI$92,2))</f>
        <v/>
      </c>
      <c r="I40" s="236">
        <f>IF(SUM(I72:I73)&gt;0,"",HLOOKUP(I39,'WEBSITES AUDIENCE'!$B$91:$BI$92,2))</f>
        <v>39983.375031400072</v>
      </c>
      <c r="J40" s="236">
        <f>IF(SUM(J72:J73)&gt;0,"",HLOOKUP(J39,'WEBSITES AUDIENCE'!$B$91:$BI$92,2))</f>
        <v>42726.434935834004</v>
      </c>
      <c r="K40" s="236">
        <f>IF(SUM(K72:K73)&gt;0,"",HLOOKUP(K39,'WEBSITES AUDIENCE'!$B$91:$BI$92,2))</f>
        <v>45494.412170551419</v>
      </c>
      <c r="L40" s="236">
        <f>IF(SUM(L72:L73)&gt;0,"",HLOOKUP(L39,'WEBSITES AUDIENCE'!$B$91:$BI$92,2))</f>
        <v>48289.200521382256</v>
      </c>
      <c r="M40" s="236">
        <f>IF(SUM(M72:M73)&gt;0,"",HLOOKUP(M39,'WEBSITES AUDIENCE'!$B$91:$BI$92,2))</f>
        <v>52348.333029462468</v>
      </c>
      <c r="N40" s="236">
        <f>IF(SUM(N72:N73)&gt;0,"",HLOOKUP(N39,'WEBSITES AUDIENCE'!$B$91:$BI$92,2))</f>
        <v>56445.105084829214</v>
      </c>
      <c r="O40" s="236">
        <f>IF(SUM(O72:O73)&gt;0,"",HLOOKUP(O39,'WEBSITES AUDIENCE'!$B$91:$BI$92,2))</f>
        <v>60582.396899006628</v>
      </c>
      <c r="P40" s="236">
        <f>IF(SUM(P72:P73)&gt;0,"",HLOOKUP(P39,'WEBSITES AUDIENCE'!$B$91:$BI$92,2))</f>
        <v>64763.520715247418</v>
      </c>
      <c r="Q40" s="236">
        <f>IF(SUM(Q72:Q73)&gt;0,"",HLOOKUP(Q39,'WEBSITES AUDIENCE'!$B$91:$BI$92,2))</f>
        <v>68992.285613292217</v>
      </c>
      <c r="R40" s="236">
        <f>IF(SUM(R72:R73)&gt;0,"",HLOOKUP(R39,'WEBSITES AUDIENCE'!$B$91:$BI$92,2))</f>
        <v>73273.072034842698</v>
      </c>
      <c r="S40" s="236">
        <f>IF(SUM(S72:S73)&gt;0,"",HLOOKUP(S39,'WEBSITES AUDIENCE'!$B$91:$BI$92,2))</f>
        <v>77610.917487855957</v>
      </c>
      <c r="T40" s="236">
        <f>IF(SUM(T72:T73)&gt;0,"",HLOOKUP(T39,'WEBSITES AUDIENCE'!$B$91:$BI$92,2))</f>
        <v>82011.615106482437</v>
      </c>
      <c r="U40" s="236">
        <f>IF(SUM(U72:U73)&gt;0,"",HLOOKUP(U39,'WEBSITES AUDIENCE'!$B$91:$BI$92,2))</f>
        <v>86481.826994995252</v>
      </c>
      <c r="V40" s="236">
        <f>IF(SUM(V72:V73)&gt;0,"",HLOOKUP(V39,'WEBSITES AUDIENCE'!$B$91:$BI$92,2))</f>
        <v>91029.214573308505</v>
      </c>
      <c r="W40" s="236">
        <f>IF(SUM(W72:W73)&gt;0,"",HLOOKUP(W39,'WEBSITES AUDIENCE'!$B$91:$BI$92,2))</f>
        <v>95662.588474323376</v>
      </c>
      <c r="X40" s="236">
        <f>IF(SUM(X72:X73)&gt;0,"",HLOOKUP(X39,'WEBSITES AUDIENCE'!$B$91:$BI$92,2))</f>
        <v>100392.08092587622</v>
      </c>
      <c r="Y40" s="236">
        <f>IF(SUM(Y72:Y73)&gt;0,"",HLOOKUP(Y39,'WEBSITES AUDIENCE'!$B$91:$BI$92,2))</f>
        <v>105970.5571024378</v>
      </c>
      <c r="Z40" s="236">
        <f>IF(SUM(Z72:Z73)&gt;0,"",HLOOKUP(Z39,'WEBSITES AUDIENCE'!$B$91:$BI$92,2))</f>
        <v>111673.89139028794</v>
      </c>
      <c r="AA40" s="236">
        <f>IF(SUM(AA72:AA73)&gt;0,"",HLOOKUP(AA39,'WEBSITES AUDIENCE'!$B$91:$BI$92,2))</f>
        <v>117517.49364143726</v>
      </c>
      <c r="AB40" s="236">
        <f>IF(SUM(AB72:AB73)&gt;0,"",HLOOKUP(AB39,'WEBSITES AUDIENCE'!$B$91:$BI$92,2))</f>
        <v>123519.30943009179</v>
      </c>
      <c r="AC40" s="236">
        <f>IF(SUM(AC72:AC73)&gt;0,"",HLOOKUP(AC39,'WEBSITES AUDIENCE'!$B$91:$BI$92,2))</f>
        <v>129699.52879344461</v>
      </c>
      <c r="AD40" s="236">
        <f>IF(SUM(AD72:AD73)&gt;0,"",HLOOKUP(AD39,'WEBSITES AUDIENCE'!$B$91:$BI$92,2))</f>
        <v>136081.59340301779</v>
      </c>
      <c r="AE40" s="236">
        <f>IF(SUM(AE72:AE73)&gt;0,"",HLOOKUP(AE39,'WEBSITES AUDIENCE'!$B$91:$BI$92,2))</f>
        <v>142692.46118106181</v>
      </c>
      <c r="AF40" s="236">
        <f>IF(SUM(AF72:AF73)&gt;0,"",HLOOKUP(AF39,'WEBSITES AUDIENCE'!$B$91:$BI$92,2))</f>
        <v>149563.13373816459</v>
      </c>
      <c r="AG40" s="236">
        <f>IF(SUM(AG72:AG73)&gt;0,"",HLOOKUP(AG39,'WEBSITES AUDIENCE'!$B$91:$BI$92,2))</f>
        <v>156729.2629265023</v>
      </c>
      <c r="AH40" s="236">
        <f>IF(SUM(AH72:AH73)&gt;0,"",HLOOKUP(AH39,'WEBSITES AUDIENCE'!$B$91:$BI$92,2))</f>
        <v>164231.84837607751</v>
      </c>
      <c r="AI40" s="236">
        <f>IF(SUM(AI72:AI73)&gt;0,"",HLOOKUP(AI39,'WEBSITES AUDIENCE'!$B$91:$BI$92,2))</f>
        <v>172118.03966139324</v>
      </c>
      <c r="AJ40" s="236">
        <f>IF(SUM(AJ72:AJ73)&gt;0,"",HLOOKUP(AJ39,'WEBSITES AUDIENCE'!$B$91:$BI$92,2))</f>
        <v>180442.05879312783</v>
      </c>
      <c r="AK40" s="236">
        <f>IF(SUM(AK72:AK73)&gt;0,"",HLOOKUP(AK39,'WEBSITES AUDIENCE'!$B$91:$BI$92,2))</f>
        <v>180442.05879312783</v>
      </c>
      <c r="AL40" s="236">
        <f>IF(SUM(AL72:AL73)&gt;0,"",HLOOKUP(AL39,'WEBSITES AUDIENCE'!$B$91:$BI$92,2))</f>
        <v>180442.05879312783</v>
      </c>
      <c r="AM40" s="236">
        <f>IF(SUM(AM72:AM73)&gt;0,"",HLOOKUP(AM39,'WEBSITES AUDIENCE'!$B$91:$BI$92,2))</f>
        <v>180442.05879312783</v>
      </c>
      <c r="AN40" s="236">
        <f>IF(SUM(AN72:AN73)&gt;0,"",HLOOKUP(AN39,'WEBSITES AUDIENCE'!$B$91:$BI$92,2))</f>
        <v>180442.05879312783</v>
      </c>
      <c r="AO40" s="236">
        <f>IF(SUM(AO72:AO73)&gt;0,"",HLOOKUP(AO39,'WEBSITES AUDIENCE'!$B$91:$BI$92,2))</f>
        <v>180442.05879312783</v>
      </c>
      <c r="AP40" s="236">
        <f>IF(SUM(AP72:AP73)&gt;0,"",HLOOKUP(AP39,'WEBSITES AUDIENCE'!$B$91:$BI$92,2))</f>
        <v>180442.05879312783</v>
      </c>
      <c r="AQ40" s="236">
        <f>IF(SUM(AQ72:AQ73)&gt;0,"",HLOOKUP(AQ39,'WEBSITES AUDIENCE'!$B$91:$BI$92,2))</f>
        <v>180442.05879312783</v>
      </c>
      <c r="AR40" s="236">
        <f>IF(SUM(AR72:AR73)&gt;0,"",HLOOKUP(AR39,'WEBSITES AUDIENCE'!$B$91:$BI$92,2))</f>
        <v>180442.05879312783</v>
      </c>
      <c r="AS40" s="236">
        <f>IF(SUM(AS72:AS73)&gt;0,"",HLOOKUP(AS39,'WEBSITES AUDIENCE'!$B$91:$BI$92,2))</f>
        <v>180442.05879312783</v>
      </c>
      <c r="AT40" s="236">
        <f>IF(SUM(AT72:AT73)&gt;0,"",HLOOKUP(AT39,'WEBSITES AUDIENCE'!$B$91:$BI$92,2))</f>
        <v>180442.05879312783</v>
      </c>
      <c r="AU40" s="236">
        <f>IF(SUM(AU72:AU73)&gt;0,"",HLOOKUP(AU39,'WEBSITES AUDIENCE'!$B$91:$BI$92,2))</f>
        <v>180442.05879312783</v>
      </c>
      <c r="AV40" s="236">
        <f>IF(SUM(AV72:AV73)&gt;0,"",HLOOKUP(AV39,'WEBSITES AUDIENCE'!$B$91:$BI$92,2))</f>
        <v>180442.05879312783</v>
      </c>
      <c r="AW40" s="236">
        <f>IF(SUM(AW72:AW73)&gt;0,"",HLOOKUP(AW39,'WEBSITES AUDIENCE'!$B$91:$BI$92,2))</f>
        <v>180442.05879312783</v>
      </c>
      <c r="AX40" s="236">
        <f>IF(SUM(AX72:AX73)&gt;0,"",HLOOKUP(AX39,'WEBSITES AUDIENCE'!$B$91:$BI$92,2))</f>
        <v>180442.05879312783</v>
      </c>
      <c r="AY40" s="236">
        <f>IF(SUM(AY72:AY73)&gt;0,"",HLOOKUP(AY39,'WEBSITES AUDIENCE'!$B$91:$BI$92,2))</f>
        <v>180442.05879312783</v>
      </c>
      <c r="AZ40" s="236">
        <f>IF(SUM(AZ72:AZ73)&gt;0,"",HLOOKUP(AZ39,'WEBSITES AUDIENCE'!$B$91:$BI$92,2))</f>
        <v>180442.05879312783</v>
      </c>
      <c r="BA40" s="236">
        <f>IF(SUM(BA72:BA73)&gt;0,"",HLOOKUP(BA39,'WEBSITES AUDIENCE'!$B$91:$BI$92,2))</f>
        <v>180442.05879312783</v>
      </c>
      <c r="BB40" s="236">
        <f>IF(SUM(BB72:BB73)&gt;0,"",HLOOKUP(BB39,'WEBSITES AUDIENCE'!$B$91:$BI$92,2))</f>
        <v>180442.05879312783</v>
      </c>
      <c r="BC40" s="236">
        <f>IF(SUM(BC72:BC73)&gt;0,"",HLOOKUP(BC39,'WEBSITES AUDIENCE'!$B$91:$BI$92,2))</f>
        <v>180442.05879312783</v>
      </c>
      <c r="BD40" s="236">
        <f>IF(SUM(BD72:BD73)&gt;0,"",HLOOKUP(BD39,'WEBSITES AUDIENCE'!$B$91:$BI$92,2))</f>
        <v>180442.05879312783</v>
      </c>
    </row>
    <row r="41" spans="1:56" s="159" customFormat="1" ht="17" x14ac:dyDescent="0.25">
      <c r="A41" s="151" t="str">
        <f>A26</f>
        <v>Esports event organizer</v>
      </c>
      <c r="B41" s="236" t="str">
        <f t="shared" ref="B41:AG41" si="5">IFERROR(B40*$J$31,"0")</f>
        <v>0</v>
      </c>
      <c r="C41" s="236" t="str">
        <f t="shared" si="5"/>
        <v>0</v>
      </c>
      <c r="D41" s="236" t="str">
        <f t="shared" si="5"/>
        <v>0</v>
      </c>
      <c r="E41" s="236" t="str">
        <f t="shared" si="5"/>
        <v>0</v>
      </c>
      <c r="F41" s="236" t="str">
        <f t="shared" si="5"/>
        <v>0</v>
      </c>
      <c r="G41" s="236" t="str">
        <f t="shared" si="5"/>
        <v>0</v>
      </c>
      <c r="H41" s="236" t="str">
        <f t="shared" si="5"/>
        <v>0</v>
      </c>
      <c r="I41" s="236">
        <f t="shared" si="5"/>
        <v>15993.350012560029</v>
      </c>
      <c r="J41" s="236">
        <f t="shared" si="5"/>
        <v>17090.573974333602</v>
      </c>
      <c r="K41" s="236">
        <f t="shared" si="5"/>
        <v>18197.764868220569</v>
      </c>
      <c r="L41" s="236">
        <f t="shared" si="5"/>
        <v>19315.680208552902</v>
      </c>
      <c r="M41" s="236">
        <f t="shared" si="5"/>
        <v>20939.33321178499</v>
      </c>
      <c r="N41" s="236">
        <f t="shared" si="5"/>
        <v>22578.042033931688</v>
      </c>
      <c r="O41" s="236">
        <f t="shared" si="5"/>
        <v>24232.958759602654</v>
      </c>
      <c r="P41" s="236">
        <f t="shared" si="5"/>
        <v>25905.408286098969</v>
      </c>
      <c r="Q41" s="236">
        <f t="shared" si="5"/>
        <v>27596.91424531689</v>
      </c>
      <c r="R41" s="236">
        <f t="shared" si="5"/>
        <v>29309.228813937079</v>
      </c>
      <c r="S41" s="236">
        <f t="shared" si="5"/>
        <v>31044.366995142384</v>
      </c>
      <c r="T41" s="236">
        <f t="shared" si="5"/>
        <v>32804.646042592976</v>
      </c>
      <c r="U41" s="236">
        <f t="shared" si="5"/>
        <v>34592.730797998105</v>
      </c>
      <c r="V41" s="236">
        <f t="shared" si="5"/>
        <v>36411.685829323404</v>
      </c>
      <c r="W41" s="236">
        <f t="shared" si="5"/>
        <v>38265.035389729353</v>
      </c>
      <c r="X41" s="236">
        <f t="shared" si="5"/>
        <v>40156.832370350487</v>
      </c>
      <c r="Y41" s="236">
        <f t="shared" si="5"/>
        <v>42388.222840975126</v>
      </c>
      <c r="Z41" s="236">
        <f t="shared" si="5"/>
        <v>44669.556556115182</v>
      </c>
      <c r="AA41" s="236">
        <f t="shared" si="5"/>
        <v>47006.997456574907</v>
      </c>
      <c r="AB41" s="236">
        <f t="shared" si="5"/>
        <v>49407.723772036719</v>
      </c>
      <c r="AC41" s="236">
        <f t="shared" si="5"/>
        <v>51879.81151737785</v>
      </c>
      <c r="AD41" s="236">
        <f t="shared" si="5"/>
        <v>54432.637361207118</v>
      </c>
      <c r="AE41" s="236">
        <f t="shared" si="5"/>
        <v>57076.984472424723</v>
      </c>
      <c r="AF41" s="236">
        <f t="shared" si="5"/>
        <v>59825.253495265839</v>
      </c>
      <c r="AG41" s="236">
        <f t="shared" si="5"/>
        <v>62691.705170600922</v>
      </c>
      <c r="AH41" s="236">
        <f t="shared" ref="AH41:BD41" si="6">IFERROR(AH40*$J$31,"0")</f>
        <v>65692.739350431002</v>
      </c>
      <c r="AI41" s="236">
        <f t="shared" si="6"/>
        <v>68847.215864557293</v>
      </c>
      <c r="AJ41" s="236">
        <f t="shared" si="6"/>
        <v>72176.823517251134</v>
      </c>
      <c r="AK41" s="236">
        <f t="shared" si="6"/>
        <v>72176.823517251134</v>
      </c>
      <c r="AL41" s="236">
        <f t="shared" si="6"/>
        <v>72176.823517251134</v>
      </c>
      <c r="AM41" s="236">
        <f t="shared" si="6"/>
        <v>72176.823517251134</v>
      </c>
      <c r="AN41" s="236">
        <f t="shared" si="6"/>
        <v>72176.823517251134</v>
      </c>
      <c r="AO41" s="236">
        <f t="shared" si="6"/>
        <v>72176.823517251134</v>
      </c>
      <c r="AP41" s="236">
        <f t="shared" si="6"/>
        <v>72176.823517251134</v>
      </c>
      <c r="AQ41" s="236">
        <f t="shared" si="6"/>
        <v>72176.823517251134</v>
      </c>
      <c r="AR41" s="236">
        <f t="shared" si="6"/>
        <v>72176.823517251134</v>
      </c>
      <c r="AS41" s="236">
        <f t="shared" si="6"/>
        <v>72176.823517251134</v>
      </c>
      <c r="AT41" s="236">
        <f t="shared" si="6"/>
        <v>72176.823517251134</v>
      </c>
      <c r="AU41" s="236">
        <f t="shared" si="6"/>
        <v>72176.823517251134</v>
      </c>
      <c r="AV41" s="236">
        <f t="shared" si="6"/>
        <v>72176.823517251134</v>
      </c>
      <c r="AW41" s="236">
        <f t="shared" si="6"/>
        <v>72176.823517251134</v>
      </c>
      <c r="AX41" s="236">
        <f t="shared" si="6"/>
        <v>72176.823517251134</v>
      </c>
      <c r="AY41" s="236">
        <f t="shared" si="6"/>
        <v>72176.823517251134</v>
      </c>
      <c r="AZ41" s="236">
        <f t="shared" si="6"/>
        <v>72176.823517251134</v>
      </c>
      <c r="BA41" s="236">
        <f t="shared" si="6"/>
        <v>72176.823517251134</v>
      </c>
      <c r="BB41" s="236">
        <f t="shared" si="6"/>
        <v>72176.823517251134</v>
      </c>
      <c r="BC41" s="236">
        <f t="shared" si="6"/>
        <v>72176.823517251134</v>
      </c>
      <c r="BD41" s="236">
        <f t="shared" si="6"/>
        <v>72176.823517251134</v>
      </c>
    </row>
    <row r="42" spans="1:56" s="159" customFormat="1" ht="17" x14ac:dyDescent="0.25">
      <c r="A42" s="151" t="str">
        <f>A27</f>
        <v>Game publisher</v>
      </c>
      <c r="B42" s="236" t="str">
        <f>IFERROR(B40*$C$31,"0")</f>
        <v>0</v>
      </c>
      <c r="C42" s="236" t="str">
        <f t="shared" ref="C42:BD42" si="7">IFERROR(C40*$C$31,"0")</f>
        <v>0</v>
      </c>
      <c r="D42" s="236" t="str">
        <f t="shared" si="7"/>
        <v>0</v>
      </c>
      <c r="E42" s="236" t="str">
        <f t="shared" si="7"/>
        <v>0</v>
      </c>
      <c r="F42" s="236" t="str">
        <f t="shared" si="7"/>
        <v>0</v>
      </c>
      <c r="G42" s="236" t="str">
        <f t="shared" si="7"/>
        <v>0</v>
      </c>
      <c r="H42" s="236" t="str">
        <f t="shared" si="7"/>
        <v>0</v>
      </c>
      <c r="I42" s="236">
        <f t="shared" si="7"/>
        <v>1199.5012509420021</v>
      </c>
      <c r="J42" s="236">
        <f t="shared" si="7"/>
        <v>1281.7930480750201</v>
      </c>
      <c r="K42" s="236">
        <f t="shared" si="7"/>
        <v>1364.8323651165424</v>
      </c>
      <c r="L42" s="236">
        <f t="shared" si="7"/>
        <v>1448.6760156414675</v>
      </c>
      <c r="M42" s="236">
        <f t="shared" si="7"/>
        <v>1570.4499908838741</v>
      </c>
      <c r="N42" s="236">
        <f t="shared" si="7"/>
        <v>1693.3531525448764</v>
      </c>
      <c r="O42" s="236">
        <f t="shared" si="7"/>
        <v>1817.4719069701987</v>
      </c>
      <c r="P42" s="236">
        <f t="shared" si="7"/>
        <v>1942.9056214574225</v>
      </c>
      <c r="Q42" s="236">
        <f t="shared" si="7"/>
        <v>2069.7685683987665</v>
      </c>
      <c r="R42" s="236">
        <f t="shared" si="7"/>
        <v>2198.192161045281</v>
      </c>
      <c r="S42" s="236">
        <f t="shared" si="7"/>
        <v>2328.3275246356784</v>
      </c>
      <c r="T42" s="236">
        <f t="shared" si="7"/>
        <v>2460.3484531944732</v>
      </c>
      <c r="U42" s="236">
        <f t="shared" si="7"/>
        <v>2594.4548098498576</v>
      </c>
      <c r="V42" s="236">
        <f t="shared" si="7"/>
        <v>2730.8764371992552</v>
      </c>
      <c r="W42" s="236">
        <f t="shared" si="7"/>
        <v>2869.877654229701</v>
      </c>
      <c r="X42" s="236">
        <f t="shared" si="7"/>
        <v>3011.7624277762866</v>
      </c>
      <c r="Y42" s="236">
        <f t="shared" si="7"/>
        <v>3179.1167130731337</v>
      </c>
      <c r="Z42" s="236">
        <f t="shared" si="7"/>
        <v>3350.216741708638</v>
      </c>
      <c r="AA42" s="236">
        <f t="shared" si="7"/>
        <v>3525.5248092431179</v>
      </c>
      <c r="AB42" s="236">
        <f t="shared" si="7"/>
        <v>3705.5792829027537</v>
      </c>
      <c r="AC42" s="236">
        <f t="shared" si="7"/>
        <v>3890.9858638033384</v>
      </c>
      <c r="AD42" s="236">
        <f t="shared" si="7"/>
        <v>4082.4478020905335</v>
      </c>
      <c r="AE42" s="236">
        <f t="shared" si="7"/>
        <v>4280.7738354318544</v>
      </c>
      <c r="AF42" s="236">
        <f t="shared" si="7"/>
        <v>4486.8940121449377</v>
      </c>
      <c r="AG42" s="236">
        <f t="shared" si="7"/>
        <v>4701.877887795069</v>
      </c>
      <c r="AH42" s="236">
        <f t="shared" si="7"/>
        <v>4926.9554512823252</v>
      </c>
      <c r="AI42" s="236">
        <f t="shared" si="7"/>
        <v>5163.5411898417969</v>
      </c>
      <c r="AJ42" s="236">
        <f t="shared" si="7"/>
        <v>5413.2617637938347</v>
      </c>
      <c r="AK42" s="236">
        <f t="shared" si="7"/>
        <v>5413.2617637938347</v>
      </c>
      <c r="AL42" s="236">
        <f t="shared" si="7"/>
        <v>5413.2617637938347</v>
      </c>
      <c r="AM42" s="236">
        <f t="shared" si="7"/>
        <v>5413.2617637938347</v>
      </c>
      <c r="AN42" s="236">
        <f t="shared" si="7"/>
        <v>5413.2617637938347</v>
      </c>
      <c r="AO42" s="236">
        <f t="shared" si="7"/>
        <v>5413.2617637938347</v>
      </c>
      <c r="AP42" s="236">
        <f t="shared" si="7"/>
        <v>5413.2617637938347</v>
      </c>
      <c r="AQ42" s="236">
        <f t="shared" si="7"/>
        <v>5413.2617637938347</v>
      </c>
      <c r="AR42" s="236">
        <f t="shared" si="7"/>
        <v>5413.2617637938347</v>
      </c>
      <c r="AS42" s="236">
        <f t="shared" si="7"/>
        <v>5413.2617637938347</v>
      </c>
      <c r="AT42" s="236">
        <f t="shared" si="7"/>
        <v>5413.2617637938347</v>
      </c>
      <c r="AU42" s="236">
        <f t="shared" si="7"/>
        <v>5413.2617637938347</v>
      </c>
      <c r="AV42" s="236">
        <f t="shared" si="7"/>
        <v>5413.2617637938347</v>
      </c>
      <c r="AW42" s="236">
        <f t="shared" si="7"/>
        <v>5413.2617637938347</v>
      </c>
      <c r="AX42" s="236">
        <f t="shared" si="7"/>
        <v>5413.2617637938347</v>
      </c>
      <c r="AY42" s="236">
        <f t="shared" si="7"/>
        <v>5413.2617637938347</v>
      </c>
      <c r="AZ42" s="236">
        <f t="shared" si="7"/>
        <v>5413.2617637938347</v>
      </c>
      <c r="BA42" s="236">
        <f t="shared" si="7"/>
        <v>5413.2617637938347</v>
      </c>
      <c r="BB42" s="236">
        <f t="shared" si="7"/>
        <v>5413.2617637938347</v>
      </c>
      <c r="BC42" s="236">
        <f t="shared" si="7"/>
        <v>5413.2617637938347</v>
      </c>
      <c r="BD42" s="236">
        <f t="shared" si="7"/>
        <v>5413.2617637938347</v>
      </c>
    </row>
    <row r="43" spans="1:56" s="151" customFormat="1" outlineLevel="1" x14ac:dyDescent="0.25">
      <c r="A43" s="160" t="s">
        <v>455</v>
      </c>
      <c r="B43" s="237" t="str">
        <f>IFERROR(IF(SUM(B72:B73)&gt;0,"",HLOOKUP(B39,'WEBSITES AUDIENCE'!$B$70:$AW$72,4)),"0")</f>
        <v/>
      </c>
      <c r="C43" s="237" t="str">
        <f>IFERROR(IF(SUM(C72:C73)&gt;0,"",HLOOKUP(C39,'WEBSITES AUDIENCE'!$B$70:$AW$72,4)),"0")</f>
        <v/>
      </c>
      <c r="D43" s="237" t="str">
        <f>IFERROR(IF(SUM(D72:D73)&gt;0,"",HLOOKUP(D39,'WEBSITES AUDIENCE'!$B$70:$AW$72,4)),"0")</f>
        <v/>
      </c>
      <c r="E43" s="237" t="str">
        <f>IFERROR(IF(SUM(E72:E73)&gt;0,"",HLOOKUP(E39,'WEBSITES AUDIENCE'!$B$70:$AW$72,4)),"0")</f>
        <v/>
      </c>
      <c r="F43" s="237" t="str">
        <f>IFERROR(IF(SUM(F72:F73)&gt;0,"",HLOOKUP(F39,'WEBSITES AUDIENCE'!$B$70:$AW$72,4)),"0")</f>
        <v/>
      </c>
      <c r="G43" s="237" t="str">
        <f>IFERROR(IF(SUM(G72:G73)&gt;0,"",HLOOKUP(G39,'WEBSITES AUDIENCE'!$B$70:$AW$72,4)),"0")</f>
        <v/>
      </c>
      <c r="H43" s="237" t="str">
        <f>IFERROR(IF(SUM(H72:H73)&gt;0,"",HLOOKUP(H39,'WEBSITES AUDIENCE'!$B$70:$AW$72,4)),"0")</f>
        <v/>
      </c>
      <c r="I43" s="237" t="str">
        <f>IFERROR(IF(SUM(I72:I73)&gt;0,"",HLOOKUP(I39,'WEBSITES AUDIENCE'!$B$70:$AW$72,4)),"0")</f>
        <v>0</v>
      </c>
      <c r="J43" s="237" t="str">
        <f>IFERROR(IF(SUM(J72:J73)&gt;0,"",HLOOKUP(J39,'WEBSITES AUDIENCE'!$B$70:$AW$72,4)),"0")</f>
        <v>0</v>
      </c>
      <c r="K43" s="237" t="str">
        <f>IFERROR(IF(SUM(K72:K73)&gt;0,"",HLOOKUP(K39,'WEBSITES AUDIENCE'!$B$70:$AW$72,4)),"0")</f>
        <v>0</v>
      </c>
      <c r="L43" s="237" t="str">
        <f>IFERROR(IF(SUM(L72:L73)&gt;0,"",HLOOKUP(L39,'WEBSITES AUDIENCE'!$B$70:$AW$72,4)),"0")</f>
        <v>0</v>
      </c>
      <c r="M43" s="237" t="str">
        <f>IFERROR(IF(SUM(M72:M73)&gt;0,"",HLOOKUP(M39,'WEBSITES AUDIENCE'!$B$70:$AW$72,4)),"0")</f>
        <v>0</v>
      </c>
      <c r="N43" s="237" t="str">
        <f>IFERROR(IF(SUM(N72:N73)&gt;0,"",HLOOKUP(N39,'WEBSITES AUDIENCE'!$B$70:$AW$72,4)),"0")</f>
        <v>0</v>
      </c>
      <c r="O43" s="237" t="str">
        <f>IFERROR(IF(SUM(O72:O73)&gt;0,"",HLOOKUP(O39,'WEBSITES AUDIENCE'!$B$70:$AW$72,4)),"0")</f>
        <v>0</v>
      </c>
      <c r="P43" s="237" t="str">
        <f>IFERROR(IF(SUM(P72:P73)&gt;0,"",HLOOKUP(P39,'WEBSITES AUDIENCE'!$B$70:$AW$72,4)),"0")</f>
        <v>0</v>
      </c>
      <c r="Q43" s="237" t="str">
        <f>IFERROR(IF(SUM(Q72:Q73)&gt;0,"",HLOOKUP(Q39,'WEBSITES AUDIENCE'!$B$70:$AW$72,4)),"0")</f>
        <v>0</v>
      </c>
      <c r="R43" s="237" t="str">
        <f>IFERROR(IF(SUM(R72:R73)&gt;0,"",HLOOKUP(R39,'WEBSITES AUDIENCE'!$B$70:$AW$72,4)),"0")</f>
        <v>0</v>
      </c>
      <c r="S43" s="237" t="str">
        <f>IFERROR(IF(SUM(S72:S73)&gt;0,"",HLOOKUP(S39,'WEBSITES AUDIENCE'!$B$70:$AW$72,4)),"0")</f>
        <v>0</v>
      </c>
      <c r="T43" s="237" t="str">
        <f>IFERROR(IF(SUM(T72:T73)&gt;0,"",HLOOKUP(T39,'WEBSITES AUDIENCE'!$B$70:$AW$72,4)),"0")</f>
        <v>0</v>
      </c>
      <c r="U43" s="237" t="str">
        <f>IFERROR(IF(SUM(U72:U73)&gt;0,"",HLOOKUP(U39,'WEBSITES AUDIENCE'!$B$70:$AW$72,4)),"0")</f>
        <v>0</v>
      </c>
      <c r="V43" s="237" t="str">
        <f>IFERROR(IF(SUM(V72:V73)&gt;0,"",HLOOKUP(V39,'WEBSITES AUDIENCE'!$B$70:$AW$72,4)),"0")</f>
        <v>0</v>
      </c>
      <c r="W43" s="237" t="str">
        <f>IFERROR(IF(SUM(W72:W73)&gt;0,"",HLOOKUP(W39,'WEBSITES AUDIENCE'!$B$70:$AW$72,4)),"0")</f>
        <v>0</v>
      </c>
      <c r="X43" s="237" t="str">
        <f>IFERROR(IF(SUM(X72:X73)&gt;0,"",HLOOKUP(X39,'WEBSITES AUDIENCE'!$B$70:$AW$72,4)),"0")</f>
        <v>0</v>
      </c>
      <c r="Y43" s="237" t="str">
        <f>IFERROR(IF(SUM(Y72:Y73)&gt;0,"",HLOOKUP(Y39,'WEBSITES AUDIENCE'!$B$70:$AW$72,4)),"0")</f>
        <v>0</v>
      </c>
      <c r="Z43" s="237" t="str">
        <f>IFERROR(IF(SUM(Z72:Z73)&gt;0,"",HLOOKUP(Z39,'WEBSITES AUDIENCE'!$B$70:$AW$72,4)),"0")</f>
        <v>0</v>
      </c>
      <c r="AA43" s="237" t="str">
        <f>IFERROR(IF(SUM(AA72:AA73)&gt;0,"",HLOOKUP(AA39,'WEBSITES AUDIENCE'!$B$70:$AW$72,4)),"0")</f>
        <v>0</v>
      </c>
      <c r="AB43" s="237" t="str">
        <f>IFERROR(IF(SUM(AB72:AB73)&gt;0,"",HLOOKUP(AB39,'WEBSITES AUDIENCE'!$B$70:$AW$72,4)),"0")</f>
        <v>0</v>
      </c>
      <c r="AC43" s="237" t="str">
        <f>IFERROR(IF(SUM(AC72:AC73)&gt;0,"",HLOOKUP(AC39,'WEBSITES AUDIENCE'!$B$70:$AW$72,4)),"0")</f>
        <v>0</v>
      </c>
      <c r="AD43" s="237" t="str">
        <f>IFERROR(IF(SUM(AD72:AD73)&gt;0,"",HLOOKUP(AD39,'WEBSITES AUDIENCE'!$B$70:$AW$72,4)),"0")</f>
        <v>0</v>
      </c>
      <c r="AE43" s="237" t="str">
        <f>IFERROR(IF(SUM(AE72:AE73)&gt;0,"",HLOOKUP(AE39,'WEBSITES AUDIENCE'!$B$70:$AW$72,4)),"0")</f>
        <v>0</v>
      </c>
      <c r="AF43" s="237" t="str">
        <f>IFERROR(IF(SUM(AF72:AF73)&gt;0,"",HLOOKUP(AF39,'WEBSITES AUDIENCE'!$B$70:$AW$72,4)),"0")</f>
        <v>0</v>
      </c>
      <c r="AG43" s="237" t="str">
        <f>IFERROR(IF(SUM(AG72:AG73)&gt;0,"",HLOOKUP(AG39,'WEBSITES AUDIENCE'!$B$70:$AW$72,4)),"0")</f>
        <v>0</v>
      </c>
      <c r="AH43" s="237" t="str">
        <f>IFERROR(IF(SUM(AH72:AH73)&gt;0,"",HLOOKUP(AH39,'WEBSITES AUDIENCE'!$B$70:$AW$72,4)),"0")</f>
        <v>0</v>
      </c>
      <c r="AI43" s="237" t="str">
        <f>IFERROR(IF(SUM(AI72:AI73)&gt;0,"",HLOOKUP(AI39,'WEBSITES AUDIENCE'!$B$70:$AW$72,4)),"0")</f>
        <v>0</v>
      </c>
      <c r="AJ43" s="237" t="str">
        <f>IFERROR(IF(SUM(AJ72:AJ73)&gt;0,"",HLOOKUP(AJ39,'WEBSITES AUDIENCE'!$B$70:$AW$72,4)),"0")</f>
        <v>0</v>
      </c>
      <c r="AK43" s="237" t="str">
        <f>IFERROR(IF(SUM(AK72:AK73)&gt;0,"",HLOOKUP(AK39,'WEBSITES AUDIENCE'!$B$70:$AW$72,4)),"0")</f>
        <v>0</v>
      </c>
      <c r="AL43" s="237" t="str">
        <f>IFERROR(IF(SUM(AL72:AL73)&gt;0,"",HLOOKUP(AL39,'WEBSITES AUDIENCE'!$B$70:$AW$72,4)),"0")</f>
        <v>0</v>
      </c>
      <c r="AM43" s="237" t="str">
        <f>IFERROR(IF(SUM(AM72:AM73)&gt;0,"",HLOOKUP(AM39,'WEBSITES AUDIENCE'!$B$70:$AW$72,4)),"0")</f>
        <v>0</v>
      </c>
      <c r="AN43" s="237" t="str">
        <f>IFERROR(IF(SUM(AN72:AN73)&gt;0,"",HLOOKUP(AN39,'WEBSITES AUDIENCE'!$B$70:$AW$72,4)),"0")</f>
        <v>0</v>
      </c>
      <c r="AO43" s="237" t="str">
        <f>IFERROR(IF(SUM(AO72:AO73)&gt;0,"",HLOOKUP(AO39,'WEBSITES AUDIENCE'!$B$70:$AW$72,4)),"0")</f>
        <v>0</v>
      </c>
      <c r="AP43" s="237" t="str">
        <f>IFERROR(IF(SUM(AP72:AP73)&gt;0,"",HLOOKUP(AP39,'WEBSITES AUDIENCE'!$B$70:$AW$72,4)),"0")</f>
        <v>0</v>
      </c>
      <c r="AQ43" s="237" t="str">
        <f>IFERROR(IF(SUM(AQ72:AQ73)&gt;0,"",HLOOKUP(AQ39,'WEBSITES AUDIENCE'!$B$70:$AW$72,4)),"0")</f>
        <v>0</v>
      </c>
      <c r="AR43" s="237" t="str">
        <f>IFERROR(IF(SUM(AR72:AR73)&gt;0,"",HLOOKUP(AR39,'WEBSITES AUDIENCE'!$B$70:$AW$72,4)),"0")</f>
        <v>0</v>
      </c>
      <c r="AS43" s="237" t="str">
        <f>IFERROR(IF(SUM(AS72:AS73)&gt;0,"",HLOOKUP(AS39,'WEBSITES AUDIENCE'!$B$70:$AW$72,4)),"0")</f>
        <v>0</v>
      </c>
      <c r="AT43" s="237" t="str">
        <f>IFERROR(IF(SUM(AT72:AT73)&gt;0,"",HLOOKUP(AT39,'WEBSITES AUDIENCE'!$B$70:$AW$72,4)),"0")</f>
        <v>0</v>
      </c>
      <c r="AU43" s="237" t="str">
        <f>IFERROR(IF(SUM(AU72:AU73)&gt;0,"",HLOOKUP(AU39,'WEBSITES AUDIENCE'!$B$70:$AW$72,4)),"0")</f>
        <v>0</v>
      </c>
      <c r="AV43" s="237" t="str">
        <f>IFERROR(IF(SUM(AV72:AV73)&gt;0,"",HLOOKUP(AV39,'WEBSITES AUDIENCE'!$B$70:$AW$72,4)),"0")</f>
        <v>0</v>
      </c>
      <c r="AW43" s="237" t="str">
        <f>IFERROR(IF(SUM(AW72:AW73)&gt;0,"",HLOOKUP(AW39,'WEBSITES AUDIENCE'!$B$70:$AW$72,4)),"0")</f>
        <v>0</v>
      </c>
      <c r="AX43" s="237" t="str">
        <f>IFERROR(IF(SUM(AX72:AX73)&gt;0,"",HLOOKUP(AX39,'WEBSITES AUDIENCE'!$B$70:$AW$72,4)),"0")</f>
        <v>0</v>
      </c>
      <c r="AY43" s="237" t="str">
        <f>IFERROR(IF(SUM(AY72:AY73)&gt;0,"",HLOOKUP(AY39,'WEBSITES AUDIENCE'!$B$70:$AW$72,4)),"0")</f>
        <v>0</v>
      </c>
      <c r="AZ43" s="237" t="str">
        <f>IFERROR(IF(SUM(AZ72:AZ73)&gt;0,"",HLOOKUP(AZ39,'WEBSITES AUDIENCE'!$B$70:$AW$72,4)),"0")</f>
        <v>0</v>
      </c>
      <c r="BA43" s="237" t="str">
        <f>IFERROR(IF(SUM(BA72:BA73)&gt;0,"",HLOOKUP(BA39,'WEBSITES AUDIENCE'!$B$70:$AW$72,4)),"0")</f>
        <v>0</v>
      </c>
      <c r="BB43" s="237" t="str">
        <f>IFERROR(IF(SUM(BB72:BB73)&gt;0,"",HLOOKUP(BB39,'WEBSITES AUDIENCE'!$B$70:$AW$72,4)),"0")</f>
        <v>0</v>
      </c>
      <c r="BC43" s="237" t="str">
        <f>IFERROR(IF(SUM(BC72:BC73)&gt;0,"",HLOOKUP(BC39,'WEBSITES AUDIENCE'!$B$70:$AW$72,4)),"0")</f>
        <v>0</v>
      </c>
      <c r="BD43" s="237" t="str">
        <f>IFERROR(IF(SUM(BD72:BD73)&gt;0,"",HLOOKUP(BD39,'WEBSITES AUDIENCE'!$B$70:$AW$72,4)),"0")</f>
        <v>0</v>
      </c>
    </row>
    <row r="44" spans="1:56" s="151" customFormat="1" outlineLevel="1" x14ac:dyDescent="0.25">
      <c r="A44" s="151" t="str">
        <f>A28</f>
        <v>Youtubers / Twitch streamers</v>
      </c>
      <c r="B44" s="237" t="str">
        <f t="shared" ref="B44:AG44" si="8">IFERROR(B43*$J$26,"0")</f>
        <v>0</v>
      </c>
      <c r="C44" s="237" t="str">
        <f t="shared" si="8"/>
        <v>0</v>
      </c>
      <c r="D44" s="237" t="str">
        <f t="shared" si="8"/>
        <v>0</v>
      </c>
      <c r="E44" s="237" t="str">
        <f t="shared" si="8"/>
        <v>0</v>
      </c>
      <c r="F44" s="237" t="str">
        <f t="shared" si="8"/>
        <v>0</v>
      </c>
      <c r="G44" s="237" t="str">
        <f t="shared" si="8"/>
        <v>0</v>
      </c>
      <c r="H44" s="237" t="str">
        <f t="shared" si="8"/>
        <v>0</v>
      </c>
      <c r="I44" s="237">
        <f t="shared" si="8"/>
        <v>0</v>
      </c>
      <c r="J44" s="237">
        <f t="shared" si="8"/>
        <v>0</v>
      </c>
      <c r="K44" s="237">
        <f t="shared" si="8"/>
        <v>0</v>
      </c>
      <c r="L44" s="237">
        <f t="shared" si="8"/>
        <v>0</v>
      </c>
      <c r="M44" s="237">
        <f t="shared" si="8"/>
        <v>0</v>
      </c>
      <c r="N44" s="237">
        <f t="shared" si="8"/>
        <v>0</v>
      </c>
      <c r="O44" s="237">
        <f t="shared" si="8"/>
        <v>0</v>
      </c>
      <c r="P44" s="237">
        <f t="shared" si="8"/>
        <v>0</v>
      </c>
      <c r="Q44" s="237">
        <f t="shared" si="8"/>
        <v>0</v>
      </c>
      <c r="R44" s="237">
        <f t="shared" si="8"/>
        <v>0</v>
      </c>
      <c r="S44" s="237">
        <f t="shared" si="8"/>
        <v>0</v>
      </c>
      <c r="T44" s="237">
        <f t="shared" si="8"/>
        <v>0</v>
      </c>
      <c r="U44" s="237">
        <f t="shared" si="8"/>
        <v>0</v>
      </c>
      <c r="V44" s="237">
        <f t="shared" si="8"/>
        <v>0</v>
      </c>
      <c r="W44" s="237">
        <f t="shared" si="8"/>
        <v>0</v>
      </c>
      <c r="X44" s="237">
        <f t="shared" si="8"/>
        <v>0</v>
      </c>
      <c r="Y44" s="237">
        <f t="shared" si="8"/>
        <v>0</v>
      </c>
      <c r="Z44" s="237">
        <f t="shared" si="8"/>
        <v>0</v>
      </c>
      <c r="AA44" s="237">
        <f t="shared" si="8"/>
        <v>0</v>
      </c>
      <c r="AB44" s="237">
        <f t="shared" si="8"/>
        <v>0</v>
      </c>
      <c r="AC44" s="237">
        <f t="shared" si="8"/>
        <v>0</v>
      </c>
      <c r="AD44" s="237">
        <f t="shared" si="8"/>
        <v>0</v>
      </c>
      <c r="AE44" s="237">
        <f t="shared" si="8"/>
        <v>0</v>
      </c>
      <c r="AF44" s="237">
        <f t="shared" si="8"/>
        <v>0</v>
      </c>
      <c r="AG44" s="237">
        <f t="shared" si="8"/>
        <v>0</v>
      </c>
      <c r="AH44" s="237">
        <f t="shared" ref="AH44:BD44" si="9">IFERROR(AH43*$J$26,"0")</f>
        <v>0</v>
      </c>
      <c r="AI44" s="237">
        <f t="shared" si="9"/>
        <v>0</v>
      </c>
      <c r="AJ44" s="237">
        <f t="shared" si="9"/>
        <v>0</v>
      </c>
      <c r="AK44" s="237">
        <f t="shared" si="9"/>
        <v>0</v>
      </c>
      <c r="AL44" s="237">
        <f t="shared" si="9"/>
        <v>0</v>
      </c>
      <c r="AM44" s="237">
        <f t="shared" si="9"/>
        <v>0</v>
      </c>
      <c r="AN44" s="237">
        <f t="shared" si="9"/>
        <v>0</v>
      </c>
      <c r="AO44" s="237">
        <f t="shared" si="9"/>
        <v>0</v>
      </c>
      <c r="AP44" s="237">
        <f t="shared" si="9"/>
        <v>0</v>
      </c>
      <c r="AQ44" s="237">
        <f t="shared" si="9"/>
        <v>0</v>
      </c>
      <c r="AR44" s="237">
        <f t="shared" si="9"/>
        <v>0</v>
      </c>
      <c r="AS44" s="237">
        <f t="shared" si="9"/>
        <v>0</v>
      </c>
      <c r="AT44" s="237">
        <f t="shared" si="9"/>
        <v>0</v>
      </c>
      <c r="AU44" s="237">
        <f t="shared" si="9"/>
        <v>0</v>
      </c>
      <c r="AV44" s="237">
        <f t="shared" si="9"/>
        <v>0</v>
      </c>
      <c r="AW44" s="237">
        <f t="shared" si="9"/>
        <v>0</v>
      </c>
      <c r="AX44" s="237">
        <f t="shared" si="9"/>
        <v>0</v>
      </c>
      <c r="AY44" s="237">
        <f t="shared" si="9"/>
        <v>0</v>
      </c>
      <c r="AZ44" s="237">
        <f t="shared" si="9"/>
        <v>0</v>
      </c>
      <c r="BA44" s="237">
        <f t="shared" si="9"/>
        <v>0</v>
      </c>
      <c r="BB44" s="237">
        <f t="shared" si="9"/>
        <v>0</v>
      </c>
      <c r="BC44" s="237">
        <f t="shared" si="9"/>
        <v>0</v>
      </c>
      <c r="BD44" s="237">
        <f t="shared" si="9"/>
        <v>0</v>
      </c>
    </row>
    <row r="45" spans="1:56" s="151" customFormat="1" x14ac:dyDescent="0.25">
      <c r="A45" s="218" t="s">
        <v>456</v>
      </c>
      <c r="B45" s="219">
        <f>B44+B42+B41</f>
        <v>0</v>
      </c>
      <c r="C45" s="219">
        <f t="shared" ref="C45:BD45" si="10">C44+C42+C41</f>
        <v>0</v>
      </c>
      <c r="D45" s="219">
        <f t="shared" si="10"/>
        <v>0</v>
      </c>
      <c r="E45" s="219">
        <f t="shared" si="10"/>
        <v>0</v>
      </c>
      <c r="F45" s="219">
        <f t="shared" si="10"/>
        <v>0</v>
      </c>
      <c r="G45" s="219">
        <f t="shared" si="10"/>
        <v>0</v>
      </c>
      <c r="H45" s="219">
        <f t="shared" si="10"/>
        <v>0</v>
      </c>
      <c r="I45" s="219">
        <f t="shared" si="10"/>
        <v>17192.851263502031</v>
      </c>
      <c r="J45" s="219">
        <f t="shared" si="10"/>
        <v>18372.367022408624</v>
      </c>
      <c r="K45" s="219">
        <f t="shared" si="10"/>
        <v>19562.59723333711</v>
      </c>
      <c r="L45" s="219">
        <f t="shared" si="10"/>
        <v>20764.356224194369</v>
      </c>
      <c r="M45" s="219">
        <f t="shared" si="10"/>
        <v>22509.783202668863</v>
      </c>
      <c r="N45" s="219">
        <f t="shared" si="10"/>
        <v>24271.395186476566</v>
      </c>
      <c r="O45" s="219">
        <f t="shared" si="10"/>
        <v>26050.430666572851</v>
      </c>
      <c r="P45" s="219">
        <f t="shared" si="10"/>
        <v>27848.313907556392</v>
      </c>
      <c r="Q45" s="219">
        <f t="shared" si="10"/>
        <v>29666.682813715655</v>
      </c>
      <c r="R45" s="219">
        <f t="shared" si="10"/>
        <v>31507.42097498236</v>
      </c>
      <c r="S45" s="219">
        <f t="shared" si="10"/>
        <v>33372.694519778059</v>
      </c>
      <c r="T45" s="219">
        <f t="shared" si="10"/>
        <v>35264.994495787447</v>
      </c>
      <c r="U45" s="219">
        <f t="shared" si="10"/>
        <v>37187.185607847961</v>
      </c>
      <c r="V45" s="219">
        <f t="shared" si="10"/>
        <v>39142.562266522662</v>
      </c>
      <c r="W45" s="219">
        <f t="shared" si="10"/>
        <v>41134.913043959052</v>
      </c>
      <c r="X45" s="219">
        <f t="shared" si="10"/>
        <v>43168.594798126775</v>
      </c>
      <c r="Y45" s="219">
        <f t="shared" si="10"/>
        <v>45567.33955404826</v>
      </c>
      <c r="Z45" s="219">
        <f t="shared" si="10"/>
        <v>48019.77329782382</v>
      </c>
      <c r="AA45" s="219">
        <f t="shared" si="10"/>
        <v>50532.522265818028</v>
      </c>
      <c r="AB45" s="219">
        <f t="shared" si="10"/>
        <v>53113.303054939475</v>
      </c>
      <c r="AC45" s="219">
        <f t="shared" si="10"/>
        <v>55770.79738118119</v>
      </c>
      <c r="AD45" s="219">
        <f t="shared" si="10"/>
        <v>58515.085163297656</v>
      </c>
      <c r="AE45" s="219">
        <f t="shared" si="10"/>
        <v>61357.75830785658</v>
      </c>
      <c r="AF45" s="219">
        <f t="shared" si="10"/>
        <v>64312.147507410773</v>
      </c>
      <c r="AG45" s="219">
        <f t="shared" si="10"/>
        <v>67393.583058395991</v>
      </c>
      <c r="AH45" s="219">
        <f t="shared" si="10"/>
        <v>70619.694801713325</v>
      </c>
      <c r="AI45" s="219">
        <f t="shared" si="10"/>
        <v>74010.757054399088</v>
      </c>
      <c r="AJ45" s="219">
        <f t="shared" si="10"/>
        <v>77590.085281044972</v>
      </c>
      <c r="AK45" s="219">
        <f t="shared" si="10"/>
        <v>77590.085281044972</v>
      </c>
      <c r="AL45" s="219">
        <f t="shared" si="10"/>
        <v>77590.085281044972</v>
      </c>
      <c r="AM45" s="219">
        <f t="shared" si="10"/>
        <v>77590.085281044972</v>
      </c>
      <c r="AN45" s="219">
        <f t="shared" si="10"/>
        <v>77590.085281044972</v>
      </c>
      <c r="AO45" s="219">
        <f t="shared" si="10"/>
        <v>77590.085281044972</v>
      </c>
      <c r="AP45" s="219">
        <f t="shared" si="10"/>
        <v>77590.085281044972</v>
      </c>
      <c r="AQ45" s="219">
        <f t="shared" si="10"/>
        <v>77590.085281044972</v>
      </c>
      <c r="AR45" s="219">
        <f t="shared" si="10"/>
        <v>77590.085281044972</v>
      </c>
      <c r="AS45" s="219">
        <f t="shared" si="10"/>
        <v>77590.085281044972</v>
      </c>
      <c r="AT45" s="219">
        <f t="shared" si="10"/>
        <v>77590.085281044972</v>
      </c>
      <c r="AU45" s="219">
        <f t="shared" si="10"/>
        <v>77590.085281044972</v>
      </c>
      <c r="AV45" s="219">
        <f t="shared" si="10"/>
        <v>77590.085281044972</v>
      </c>
      <c r="AW45" s="219">
        <f t="shared" si="10"/>
        <v>77590.085281044972</v>
      </c>
      <c r="AX45" s="219">
        <f t="shared" si="10"/>
        <v>77590.085281044972</v>
      </c>
      <c r="AY45" s="219">
        <f t="shared" si="10"/>
        <v>77590.085281044972</v>
      </c>
      <c r="AZ45" s="219">
        <f t="shared" si="10"/>
        <v>77590.085281044972</v>
      </c>
      <c r="BA45" s="219">
        <f t="shared" si="10"/>
        <v>77590.085281044972</v>
      </c>
      <c r="BB45" s="219">
        <f t="shared" si="10"/>
        <v>77590.085281044972</v>
      </c>
      <c r="BC45" s="219">
        <f t="shared" si="10"/>
        <v>77590.085281044972</v>
      </c>
      <c r="BD45" s="219">
        <f t="shared" si="10"/>
        <v>77590.085281044972</v>
      </c>
    </row>
    <row r="46" spans="1:56" s="151" customFormat="1" x14ac:dyDescent="0.25">
      <c r="B46" s="176"/>
      <c r="I46" s="153"/>
      <c r="N46" s="221"/>
    </row>
    <row r="47" spans="1:56" s="151" customFormat="1" x14ac:dyDescent="0.25">
      <c r="A47" s="3" t="str">
        <f>A41</f>
        <v>Esports event organizer</v>
      </c>
      <c r="B47" s="131">
        <f t="shared" ref="B47:AG47" si="11">B39</f>
        <v>44593</v>
      </c>
      <c r="C47" s="131">
        <f t="shared" si="11"/>
        <v>44624</v>
      </c>
      <c r="D47" s="131">
        <f t="shared" si="11"/>
        <v>44655</v>
      </c>
      <c r="E47" s="131">
        <f t="shared" si="11"/>
        <v>44686</v>
      </c>
      <c r="F47" s="131">
        <f t="shared" si="11"/>
        <v>44717</v>
      </c>
      <c r="G47" s="131">
        <f t="shared" si="11"/>
        <v>44748</v>
      </c>
      <c r="H47" s="131">
        <f t="shared" si="11"/>
        <v>44779</v>
      </c>
      <c r="I47" s="131">
        <f t="shared" si="11"/>
        <v>44810</v>
      </c>
      <c r="J47" s="131">
        <f t="shared" si="11"/>
        <v>44841</v>
      </c>
      <c r="K47" s="131">
        <f t="shared" si="11"/>
        <v>44872</v>
      </c>
      <c r="L47" s="131">
        <f t="shared" si="11"/>
        <v>44903</v>
      </c>
      <c r="M47" s="131">
        <f t="shared" si="11"/>
        <v>44934</v>
      </c>
      <c r="N47" s="131">
        <f t="shared" si="11"/>
        <v>44965</v>
      </c>
      <c r="O47" s="131">
        <f t="shared" si="11"/>
        <v>44996</v>
      </c>
      <c r="P47" s="131">
        <f t="shared" si="11"/>
        <v>45027</v>
      </c>
      <c r="Q47" s="131">
        <f t="shared" si="11"/>
        <v>45058</v>
      </c>
      <c r="R47" s="131">
        <f t="shared" si="11"/>
        <v>45089</v>
      </c>
      <c r="S47" s="131">
        <f t="shared" si="11"/>
        <v>45120</v>
      </c>
      <c r="T47" s="131">
        <f t="shared" si="11"/>
        <v>45151</v>
      </c>
      <c r="U47" s="131">
        <f t="shared" si="11"/>
        <v>45182</v>
      </c>
      <c r="V47" s="131">
        <f t="shared" si="11"/>
        <v>45213</v>
      </c>
      <c r="W47" s="131">
        <f t="shared" si="11"/>
        <v>45244</v>
      </c>
      <c r="X47" s="131">
        <f t="shared" si="11"/>
        <v>45275</v>
      </c>
      <c r="Y47" s="131">
        <f t="shared" si="11"/>
        <v>45306</v>
      </c>
      <c r="Z47" s="131">
        <f t="shared" si="11"/>
        <v>45337</v>
      </c>
      <c r="AA47" s="131">
        <f t="shared" si="11"/>
        <v>45368</v>
      </c>
      <c r="AB47" s="131">
        <f t="shared" si="11"/>
        <v>45399</v>
      </c>
      <c r="AC47" s="131">
        <f t="shared" si="11"/>
        <v>45430</v>
      </c>
      <c r="AD47" s="131">
        <f t="shared" si="11"/>
        <v>45461</v>
      </c>
      <c r="AE47" s="131">
        <f t="shared" si="11"/>
        <v>45492</v>
      </c>
      <c r="AF47" s="131">
        <f t="shared" si="11"/>
        <v>45523</v>
      </c>
      <c r="AG47" s="131">
        <f t="shared" si="11"/>
        <v>45554</v>
      </c>
      <c r="AH47" s="131">
        <f t="shared" ref="AH47:BD47" si="12">AH39</f>
        <v>45585</v>
      </c>
      <c r="AI47" s="131">
        <f t="shared" si="12"/>
        <v>45616</v>
      </c>
      <c r="AJ47" s="131">
        <f t="shared" si="12"/>
        <v>45647</v>
      </c>
      <c r="AK47" s="131">
        <f t="shared" si="12"/>
        <v>45678</v>
      </c>
      <c r="AL47" s="131">
        <f t="shared" si="12"/>
        <v>45709</v>
      </c>
      <c r="AM47" s="131">
        <f t="shared" si="12"/>
        <v>45740</v>
      </c>
      <c r="AN47" s="131">
        <f t="shared" si="12"/>
        <v>45771</v>
      </c>
      <c r="AO47" s="131">
        <f t="shared" si="12"/>
        <v>45802</v>
      </c>
      <c r="AP47" s="131">
        <f t="shared" si="12"/>
        <v>45833</v>
      </c>
      <c r="AQ47" s="131">
        <f t="shared" si="12"/>
        <v>45864</v>
      </c>
      <c r="AR47" s="131">
        <f t="shared" si="12"/>
        <v>45895</v>
      </c>
      <c r="AS47" s="131">
        <f t="shared" si="12"/>
        <v>45926</v>
      </c>
      <c r="AT47" s="131">
        <f t="shared" si="12"/>
        <v>45957</v>
      </c>
      <c r="AU47" s="131">
        <f t="shared" si="12"/>
        <v>45988</v>
      </c>
      <c r="AV47" s="131">
        <f t="shared" si="12"/>
        <v>46019</v>
      </c>
      <c r="AW47" s="131">
        <f t="shared" si="12"/>
        <v>46050</v>
      </c>
      <c r="AX47" s="131">
        <f t="shared" si="12"/>
        <v>46081</v>
      </c>
      <c r="AY47" s="131">
        <f t="shared" si="12"/>
        <v>46112</v>
      </c>
      <c r="AZ47" s="131">
        <f t="shared" si="12"/>
        <v>46143</v>
      </c>
      <c r="BA47" s="131">
        <f t="shared" si="12"/>
        <v>46174</v>
      </c>
      <c r="BB47" s="131">
        <f t="shared" si="12"/>
        <v>46205</v>
      </c>
      <c r="BC47" s="131">
        <f t="shared" si="12"/>
        <v>46236</v>
      </c>
      <c r="BD47" s="131">
        <f t="shared" si="12"/>
        <v>46267</v>
      </c>
    </row>
    <row r="48" spans="1:56" s="151" customFormat="1" outlineLevel="1" x14ac:dyDescent="0.25">
      <c r="A48" s="151" t="str">
        <f>A47</f>
        <v>Esports event organizer</v>
      </c>
      <c r="B48" s="292" t="str">
        <f t="shared" ref="B48:BD48" si="13">B41</f>
        <v>0</v>
      </c>
      <c r="C48" s="292" t="str">
        <f t="shared" si="13"/>
        <v>0</v>
      </c>
      <c r="D48" s="292" t="str">
        <f t="shared" si="13"/>
        <v>0</v>
      </c>
      <c r="E48" s="292" t="str">
        <f t="shared" si="13"/>
        <v>0</v>
      </c>
      <c r="F48" s="292" t="str">
        <f t="shared" si="13"/>
        <v>0</v>
      </c>
      <c r="G48" s="292" t="str">
        <f t="shared" si="13"/>
        <v>0</v>
      </c>
      <c r="H48" s="295" t="str">
        <f t="shared" si="13"/>
        <v>0</v>
      </c>
      <c r="I48" s="168">
        <f t="shared" si="13"/>
        <v>15993.350012560029</v>
      </c>
      <c r="J48" s="168">
        <f t="shared" si="13"/>
        <v>17090.573974333602</v>
      </c>
      <c r="K48" s="168">
        <f t="shared" si="13"/>
        <v>18197.764868220569</v>
      </c>
      <c r="L48" s="168">
        <f t="shared" si="13"/>
        <v>19315.680208552902</v>
      </c>
      <c r="M48" s="168">
        <f t="shared" si="13"/>
        <v>20939.33321178499</v>
      </c>
      <c r="N48" s="168">
        <f t="shared" si="13"/>
        <v>22578.042033931688</v>
      </c>
      <c r="O48" s="168">
        <f t="shared" si="13"/>
        <v>24232.958759602654</v>
      </c>
      <c r="P48" s="168">
        <f t="shared" si="13"/>
        <v>25905.408286098969</v>
      </c>
      <c r="Q48" s="168">
        <f t="shared" si="13"/>
        <v>27596.91424531689</v>
      </c>
      <c r="R48" s="168">
        <f t="shared" si="13"/>
        <v>29309.228813937079</v>
      </c>
      <c r="S48" s="168">
        <f t="shared" si="13"/>
        <v>31044.366995142384</v>
      </c>
      <c r="T48" s="168">
        <f t="shared" si="13"/>
        <v>32804.646042592976</v>
      </c>
      <c r="U48" s="168">
        <f t="shared" si="13"/>
        <v>34592.730797998105</v>
      </c>
      <c r="V48" s="168">
        <f t="shared" si="13"/>
        <v>36411.685829323404</v>
      </c>
      <c r="W48" s="168">
        <f t="shared" si="13"/>
        <v>38265.035389729353</v>
      </c>
      <c r="X48" s="168">
        <f t="shared" si="13"/>
        <v>40156.832370350487</v>
      </c>
      <c r="Y48" s="168">
        <f t="shared" si="13"/>
        <v>42388.222840975126</v>
      </c>
      <c r="Z48" s="168">
        <f t="shared" si="13"/>
        <v>44669.556556115182</v>
      </c>
      <c r="AA48" s="168">
        <f t="shared" si="13"/>
        <v>47006.997456574907</v>
      </c>
      <c r="AB48" s="168">
        <f t="shared" si="13"/>
        <v>49407.723772036719</v>
      </c>
      <c r="AC48" s="168">
        <f t="shared" si="13"/>
        <v>51879.81151737785</v>
      </c>
      <c r="AD48" s="168">
        <f t="shared" si="13"/>
        <v>54432.637361207118</v>
      </c>
      <c r="AE48" s="168">
        <f t="shared" si="13"/>
        <v>57076.984472424723</v>
      </c>
      <c r="AF48" s="168">
        <f t="shared" si="13"/>
        <v>59825.253495265839</v>
      </c>
      <c r="AG48" s="168">
        <f t="shared" si="13"/>
        <v>62691.705170600922</v>
      </c>
      <c r="AH48" s="168">
        <f t="shared" si="13"/>
        <v>65692.739350431002</v>
      </c>
      <c r="AI48" s="168">
        <f t="shared" si="13"/>
        <v>68847.215864557293</v>
      </c>
      <c r="AJ48" s="168">
        <f t="shared" si="13"/>
        <v>72176.823517251134</v>
      </c>
      <c r="AK48" s="168">
        <f t="shared" si="13"/>
        <v>72176.823517251134</v>
      </c>
      <c r="AL48" s="168">
        <f t="shared" si="13"/>
        <v>72176.823517251134</v>
      </c>
      <c r="AM48" s="168">
        <f t="shared" si="13"/>
        <v>72176.823517251134</v>
      </c>
      <c r="AN48" s="168">
        <f t="shared" si="13"/>
        <v>72176.823517251134</v>
      </c>
      <c r="AO48" s="168">
        <f t="shared" si="13"/>
        <v>72176.823517251134</v>
      </c>
      <c r="AP48" s="168">
        <f t="shared" si="13"/>
        <v>72176.823517251134</v>
      </c>
      <c r="AQ48" s="168">
        <f t="shared" si="13"/>
        <v>72176.823517251134</v>
      </c>
      <c r="AR48" s="168">
        <f t="shared" si="13"/>
        <v>72176.823517251134</v>
      </c>
      <c r="AS48" s="168">
        <f t="shared" si="13"/>
        <v>72176.823517251134</v>
      </c>
      <c r="AT48" s="168">
        <f t="shared" si="13"/>
        <v>72176.823517251134</v>
      </c>
      <c r="AU48" s="168">
        <f t="shared" si="13"/>
        <v>72176.823517251134</v>
      </c>
      <c r="AV48" s="168">
        <f t="shared" si="13"/>
        <v>72176.823517251134</v>
      </c>
      <c r="AW48" s="168">
        <f t="shared" si="13"/>
        <v>72176.823517251134</v>
      </c>
      <c r="AX48" s="168">
        <f t="shared" si="13"/>
        <v>72176.823517251134</v>
      </c>
      <c r="AY48" s="168">
        <f t="shared" si="13"/>
        <v>72176.823517251134</v>
      </c>
      <c r="AZ48" s="168">
        <f t="shared" si="13"/>
        <v>72176.823517251134</v>
      </c>
      <c r="BA48" s="168">
        <f t="shared" si="13"/>
        <v>72176.823517251134</v>
      </c>
      <c r="BB48" s="168">
        <f t="shared" si="13"/>
        <v>72176.823517251134</v>
      </c>
      <c r="BC48" s="168">
        <f t="shared" si="13"/>
        <v>72176.823517251134</v>
      </c>
      <c r="BD48" s="168">
        <f t="shared" si="13"/>
        <v>72176.823517251134</v>
      </c>
    </row>
    <row r="49" spans="1:56" s="151" customFormat="1" outlineLevel="1" x14ac:dyDescent="0.25">
      <c r="A49" s="151" t="s">
        <v>457</v>
      </c>
      <c r="B49" s="292">
        <f t="shared" ref="B49:AG49" si="14">IFERROR(B48*$J$32,"0")</f>
        <v>0</v>
      </c>
      <c r="C49" s="292">
        <f t="shared" si="14"/>
        <v>0</v>
      </c>
      <c r="D49" s="292">
        <f t="shared" si="14"/>
        <v>0</v>
      </c>
      <c r="E49" s="292">
        <f t="shared" si="14"/>
        <v>0</v>
      </c>
      <c r="F49" s="292">
        <f t="shared" si="14"/>
        <v>0</v>
      </c>
      <c r="G49" s="292">
        <f t="shared" si="14"/>
        <v>0</v>
      </c>
      <c r="H49" s="168">
        <f t="shared" si="14"/>
        <v>0</v>
      </c>
      <c r="I49" s="168">
        <f t="shared" si="14"/>
        <v>63.973400050240116</v>
      </c>
      <c r="J49" s="168">
        <f t="shared" si="14"/>
        <v>68.362295897334405</v>
      </c>
      <c r="K49" s="168">
        <f t="shared" si="14"/>
        <v>72.791059472882282</v>
      </c>
      <c r="L49" s="168">
        <f t="shared" si="14"/>
        <v>77.262720834211606</v>
      </c>
      <c r="M49" s="168">
        <f t="shared" si="14"/>
        <v>83.757332847139963</v>
      </c>
      <c r="N49" s="168">
        <f t="shared" si="14"/>
        <v>90.312168135726751</v>
      </c>
      <c r="O49" s="168">
        <f t="shared" si="14"/>
        <v>96.931835038410611</v>
      </c>
      <c r="P49" s="168">
        <f t="shared" si="14"/>
        <v>103.62163314439587</v>
      </c>
      <c r="Q49" s="168">
        <f t="shared" si="14"/>
        <v>110.38765698126755</v>
      </c>
      <c r="R49" s="168">
        <f t="shared" si="14"/>
        <v>117.23691525574831</v>
      </c>
      <c r="S49" s="168">
        <f t="shared" si="14"/>
        <v>124.17746798056953</v>
      </c>
      <c r="T49" s="168">
        <f t="shared" si="14"/>
        <v>131.21858417037191</v>
      </c>
      <c r="U49" s="168">
        <f t="shared" si="14"/>
        <v>138.37092319199243</v>
      </c>
      <c r="V49" s="168">
        <f t="shared" si="14"/>
        <v>145.64674331729361</v>
      </c>
      <c r="W49" s="168">
        <f t="shared" si="14"/>
        <v>153.06014155891742</v>
      </c>
      <c r="X49" s="168">
        <f t="shared" si="14"/>
        <v>160.62732948140194</v>
      </c>
      <c r="Y49" s="168">
        <f t="shared" si="14"/>
        <v>169.5528913639005</v>
      </c>
      <c r="Z49" s="168">
        <f t="shared" si="14"/>
        <v>178.67822622446073</v>
      </c>
      <c r="AA49" s="168">
        <f t="shared" si="14"/>
        <v>188.02798982629963</v>
      </c>
      <c r="AB49" s="168">
        <f t="shared" si="14"/>
        <v>197.63089508814687</v>
      </c>
      <c r="AC49" s="168">
        <f t="shared" si="14"/>
        <v>207.51924606951141</v>
      </c>
      <c r="AD49" s="168">
        <f t="shared" si="14"/>
        <v>217.73054944482848</v>
      </c>
      <c r="AE49" s="168">
        <f t="shared" si="14"/>
        <v>228.30793788969891</v>
      </c>
      <c r="AF49" s="168">
        <f t="shared" si="14"/>
        <v>239.30101398106336</v>
      </c>
      <c r="AG49" s="168">
        <f t="shared" si="14"/>
        <v>250.7668206824037</v>
      </c>
      <c r="AH49" s="168">
        <f t="shared" ref="AH49:BD49" si="15">IFERROR(AH48*$J$32,"0")</f>
        <v>262.77095740172399</v>
      </c>
      <c r="AI49" s="168">
        <f t="shared" si="15"/>
        <v>275.3888634582292</v>
      </c>
      <c r="AJ49" s="168">
        <f t="shared" si="15"/>
        <v>288.70729406900455</v>
      </c>
      <c r="AK49" s="168">
        <f t="shared" si="15"/>
        <v>288.70729406900455</v>
      </c>
      <c r="AL49" s="168">
        <f t="shared" si="15"/>
        <v>288.70729406900455</v>
      </c>
      <c r="AM49" s="168">
        <f t="shared" si="15"/>
        <v>288.70729406900455</v>
      </c>
      <c r="AN49" s="168">
        <f t="shared" si="15"/>
        <v>288.70729406900455</v>
      </c>
      <c r="AO49" s="168">
        <f t="shared" si="15"/>
        <v>288.70729406900455</v>
      </c>
      <c r="AP49" s="168">
        <f t="shared" si="15"/>
        <v>288.70729406900455</v>
      </c>
      <c r="AQ49" s="168">
        <f t="shared" si="15"/>
        <v>288.70729406900455</v>
      </c>
      <c r="AR49" s="168">
        <f t="shared" si="15"/>
        <v>288.70729406900455</v>
      </c>
      <c r="AS49" s="168">
        <f t="shared" si="15"/>
        <v>288.70729406900455</v>
      </c>
      <c r="AT49" s="168">
        <f t="shared" si="15"/>
        <v>288.70729406900455</v>
      </c>
      <c r="AU49" s="168">
        <f t="shared" si="15"/>
        <v>288.70729406900455</v>
      </c>
      <c r="AV49" s="168">
        <f t="shared" si="15"/>
        <v>288.70729406900455</v>
      </c>
      <c r="AW49" s="168">
        <f t="shared" si="15"/>
        <v>288.70729406900455</v>
      </c>
      <c r="AX49" s="168">
        <f t="shared" si="15"/>
        <v>288.70729406900455</v>
      </c>
      <c r="AY49" s="168">
        <f t="shared" si="15"/>
        <v>288.70729406900455</v>
      </c>
      <c r="AZ49" s="168">
        <f t="shared" si="15"/>
        <v>288.70729406900455</v>
      </c>
      <c r="BA49" s="168">
        <f t="shared" si="15"/>
        <v>288.70729406900455</v>
      </c>
      <c r="BB49" s="168">
        <f t="shared" si="15"/>
        <v>288.70729406900455</v>
      </c>
      <c r="BC49" s="168">
        <f t="shared" si="15"/>
        <v>288.70729406900455</v>
      </c>
      <c r="BD49" s="168">
        <f t="shared" si="15"/>
        <v>288.70729406900455</v>
      </c>
    </row>
    <row r="50" spans="1:56" s="151" customFormat="1" outlineLevel="1" x14ac:dyDescent="0.25">
      <c r="A50" s="151" t="s">
        <v>458</v>
      </c>
      <c r="B50" s="294">
        <f>IFERROR(B49*$C$26,"0")</f>
        <v>0</v>
      </c>
      <c r="C50" s="294">
        <f t="shared" ref="C50:BD50" si="16">IFERROR(C49*$C$26,"0")</f>
        <v>0</v>
      </c>
      <c r="D50" s="294">
        <f t="shared" si="16"/>
        <v>0</v>
      </c>
      <c r="E50" s="294">
        <f t="shared" si="16"/>
        <v>0</v>
      </c>
      <c r="F50" s="294">
        <f t="shared" si="16"/>
        <v>0</v>
      </c>
      <c r="G50" s="294">
        <f t="shared" si="16"/>
        <v>0</v>
      </c>
      <c r="H50" s="294">
        <f t="shared" si="16"/>
        <v>0</v>
      </c>
      <c r="I50" s="294">
        <f t="shared" si="16"/>
        <v>511787.20040192094</v>
      </c>
      <c r="J50" s="294">
        <f t="shared" si="16"/>
        <v>546898.36717867525</v>
      </c>
      <c r="K50" s="294">
        <f t="shared" si="16"/>
        <v>582328.47578305821</v>
      </c>
      <c r="L50" s="294">
        <f t="shared" si="16"/>
        <v>618101.76667369285</v>
      </c>
      <c r="M50" s="294">
        <f t="shared" si="16"/>
        <v>670058.66277711967</v>
      </c>
      <c r="N50" s="294">
        <f t="shared" si="16"/>
        <v>722497.34508581401</v>
      </c>
      <c r="O50" s="294">
        <f t="shared" si="16"/>
        <v>775454.68030728493</v>
      </c>
      <c r="P50" s="294">
        <f t="shared" si="16"/>
        <v>828973.06515516702</v>
      </c>
      <c r="Q50" s="294">
        <f t="shared" si="16"/>
        <v>883101.25585014047</v>
      </c>
      <c r="R50" s="294">
        <f t="shared" si="16"/>
        <v>937895.32204598654</v>
      </c>
      <c r="S50" s="294">
        <f t="shared" si="16"/>
        <v>993419.74384455627</v>
      </c>
      <c r="T50" s="294">
        <f t="shared" si="16"/>
        <v>1049748.6733629752</v>
      </c>
      <c r="U50" s="294">
        <f t="shared" si="16"/>
        <v>1106967.3855359394</v>
      </c>
      <c r="V50" s="294">
        <f t="shared" si="16"/>
        <v>1165173.9465383489</v>
      </c>
      <c r="W50" s="294">
        <f t="shared" si="16"/>
        <v>1224481.1324713393</v>
      </c>
      <c r="X50" s="294">
        <f t="shared" si="16"/>
        <v>1285018.6358512156</v>
      </c>
      <c r="Y50" s="294">
        <f t="shared" si="16"/>
        <v>1356423.130911204</v>
      </c>
      <c r="Z50" s="294">
        <f t="shared" si="16"/>
        <v>1429425.8097956858</v>
      </c>
      <c r="AA50" s="294">
        <f t="shared" si="16"/>
        <v>1504223.918610397</v>
      </c>
      <c r="AB50" s="294">
        <f t="shared" si="16"/>
        <v>1581047.160705175</v>
      </c>
      <c r="AC50" s="294">
        <f t="shared" si="16"/>
        <v>1660153.9685560912</v>
      </c>
      <c r="AD50" s="294">
        <f t="shared" si="16"/>
        <v>1741844.3955586278</v>
      </c>
      <c r="AE50" s="294">
        <f t="shared" si="16"/>
        <v>1826463.5031175911</v>
      </c>
      <c r="AF50" s="294">
        <f t="shared" si="16"/>
        <v>1914408.1118485068</v>
      </c>
      <c r="AG50" s="294">
        <f t="shared" si="16"/>
        <v>2006134.5654592295</v>
      </c>
      <c r="AH50" s="294">
        <f t="shared" si="16"/>
        <v>2102167.6592137921</v>
      </c>
      <c r="AI50" s="294">
        <f t="shared" si="16"/>
        <v>2203110.9076658334</v>
      </c>
      <c r="AJ50" s="294">
        <f t="shared" si="16"/>
        <v>2309658.3525520363</v>
      </c>
      <c r="AK50" s="294">
        <f t="shared" si="16"/>
        <v>2309658.3525520363</v>
      </c>
      <c r="AL50" s="294">
        <f t="shared" si="16"/>
        <v>2309658.3525520363</v>
      </c>
      <c r="AM50" s="294">
        <f t="shared" si="16"/>
        <v>2309658.3525520363</v>
      </c>
      <c r="AN50" s="294">
        <f t="shared" si="16"/>
        <v>2309658.3525520363</v>
      </c>
      <c r="AO50" s="294">
        <f t="shared" si="16"/>
        <v>2309658.3525520363</v>
      </c>
      <c r="AP50" s="294">
        <f t="shared" si="16"/>
        <v>2309658.3525520363</v>
      </c>
      <c r="AQ50" s="294">
        <f t="shared" si="16"/>
        <v>2309658.3525520363</v>
      </c>
      <c r="AR50" s="294">
        <f t="shared" si="16"/>
        <v>2309658.3525520363</v>
      </c>
      <c r="AS50" s="294">
        <f t="shared" si="16"/>
        <v>2309658.3525520363</v>
      </c>
      <c r="AT50" s="294">
        <f t="shared" si="16"/>
        <v>2309658.3525520363</v>
      </c>
      <c r="AU50" s="294">
        <f t="shared" si="16"/>
        <v>2309658.3525520363</v>
      </c>
      <c r="AV50" s="294">
        <f t="shared" si="16"/>
        <v>2309658.3525520363</v>
      </c>
      <c r="AW50" s="294">
        <f t="shared" si="16"/>
        <v>2309658.3525520363</v>
      </c>
      <c r="AX50" s="294">
        <f t="shared" si="16"/>
        <v>2309658.3525520363</v>
      </c>
      <c r="AY50" s="294">
        <f t="shared" si="16"/>
        <v>2309658.3525520363</v>
      </c>
      <c r="AZ50" s="294">
        <f t="shared" si="16"/>
        <v>2309658.3525520363</v>
      </c>
      <c r="BA50" s="294">
        <f t="shared" si="16"/>
        <v>2309658.3525520363</v>
      </c>
      <c r="BB50" s="294">
        <f t="shared" si="16"/>
        <v>2309658.3525520363</v>
      </c>
      <c r="BC50" s="294">
        <f t="shared" si="16"/>
        <v>2309658.3525520363</v>
      </c>
      <c r="BD50" s="294">
        <f t="shared" si="16"/>
        <v>2309658.3525520363</v>
      </c>
    </row>
    <row r="51" spans="1:56" s="151" customFormat="1" x14ac:dyDescent="0.25">
      <c r="A51" s="218" t="s">
        <v>459</v>
      </c>
      <c r="B51" s="223">
        <f>IFERROR(B50*$C$35,"0")</f>
        <v>0</v>
      </c>
      <c r="C51" s="223">
        <f t="shared" ref="C51:AH51" si="17">IFERROR(IF(C50&gt;B50,C50*$C$35,B51*(1+$C$37)),"0")</f>
        <v>0</v>
      </c>
      <c r="D51" s="223">
        <f t="shared" si="17"/>
        <v>0</v>
      </c>
      <c r="E51" s="223">
        <f t="shared" si="17"/>
        <v>0</v>
      </c>
      <c r="F51" s="223">
        <f t="shared" si="17"/>
        <v>0</v>
      </c>
      <c r="G51" s="223">
        <f t="shared" si="17"/>
        <v>0</v>
      </c>
      <c r="H51" s="223">
        <f t="shared" si="17"/>
        <v>0</v>
      </c>
      <c r="I51" s="223">
        <f t="shared" si="17"/>
        <v>76768.080060288135</v>
      </c>
      <c r="J51" s="223">
        <f t="shared" si="17"/>
        <v>82034.755076801288</v>
      </c>
      <c r="K51" s="223">
        <f t="shared" si="17"/>
        <v>87349.271367458728</v>
      </c>
      <c r="L51" s="223">
        <f t="shared" si="17"/>
        <v>92715.265001053922</v>
      </c>
      <c r="M51" s="223">
        <f t="shared" si="17"/>
        <v>100508.79941656794</v>
      </c>
      <c r="N51" s="223">
        <f t="shared" si="17"/>
        <v>108374.6017628721</v>
      </c>
      <c r="O51" s="223">
        <f t="shared" si="17"/>
        <v>116318.20204609273</v>
      </c>
      <c r="P51" s="223">
        <f t="shared" si="17"/>
        <v>124345.95977327504</v>
      </c>
      <c r="Q51" s="223">
        <f t="shared" si="17"/>
        <v>132465.18837752106</v>
      </c>
      <c r="R51" s="223">
        <f t="shared" si="17"/>
        <v>140684.29830689798</v>
      </c>
      <c r="S51" s="223">
        <f t="shared" si="17"/>
        <v>149012.96157668345</v>
      </c>
      <c r="T51" s="223">
        <f t="shared" si="17"/>
        <v>157462.30100444629</v>
      </c>
      <c r="U51" s="223">
        <f t="shared" si="17"/>
        <v>166045.10783039089</v>
      </c>
      <c r="V51" s="223">
        <f t="shared" si="17"/>
        <v>174776.09198075233</v>
      </c>
      <c r="W51" s="223">
        <f t="shared" si="17"/>
        <v>183672.16987070089</v>
      </c>
      <c r="X51" s="223">
        <f t="shared" si="17"/>
        <v>192752.79537768234</v>
      </c>
      <c r="Y51" s="223">
        <f t="shared" si="17"/>
        <v>203463.46963668059</v>
      </c>
      <c r="Z51" s="223">
        <f t="shared" si="17"/>
        <v>214413.87146935286</v>
      </c>
      <c r="AA51" s="223">
        <f t="shared" si="17"/>
        <v>225633.58779155955</v>
      </c>
      <c r="AB51" s="223">
        <f t="shared" si="17"/>
        <v>237157.07410577624</v>
      </c>
      <c r="AC51" s="223">
        <f t="shared" si="17"/>
        <v>249023.09528341366</v>
      </c>
      <c r="AD51" s="223">
        <f t="shared" si="17"/>
        <v>261276.65933379414</v>
      </c>
      <c r="AE51" s="223">
        <f t="shared" si="17"/>
        <v>273969.52546763868</v>
      </c>
      <c r="AF51" s="223">
        <f t="shared" si="17"/>
        <v>287161.21677727601</v>
      </c>
      <c r="AG51" s="223">
        <f t="shared" si="17"/>
        <v>300920.18481888442</v>
      </c>
      <c r="AH51" s="223">
        <f t="shared" si="17"/>
        <v>315325.14888206881</v>
      </c>
      <c r="AI51" s="223">
        <f t="shared" ref="AI51:BD51" si="18">IFERROR(IF(AI50&gt;AH50,AI50*$C$35,AH51*(1+$C$37)),"0")</f>
        <v>330466.636149875</v>
      </c>
      <c r="AJ51" s="223">
        <f t="shared" si="18"/>
        <v>346448.75288280542</v>
      </c>
      <c r="AK51" s="223">
        <f t="shared" si="18"/>
        <v>353377.72794046154</v>
      </c>
      <c r="AL51" s="223">
        <f t="shared" si="18"/>
        <v>360445.2824992708</v>
      </c>
      <c r="AM51" s="223">
        <f t="shared" si="18"/>
        <v>367654.18814925622</v>
      </c>
      <c r="AN51" s="223">
        <f t="shared" si="18"/>
        <v>375007.27191224135</v>
      </c>
      <c r="AO51" s="223">
        <f t="shared" si="18"/>
        <v>382507.41735048621</v>
      </c>
      <c r="AP51" s="223">
        <f t="shared" si="18"/>
        <v>390157.56569749594</v>
      </c>
      <c r="AQ51" s="223">
        <f t="shared" si="18"/>
        <v>397960.71701144584</v>
      </c>
      <c r="AR51" s="223">
        <f t="shared" si="18"/>
        <v>405919.93135167478</v>
      </c>
      <c r="AS51" s="223">
        <f t="shared" si="18"/>
        <v>414038.32997870829</v>
      </c>
      <c r="AT51" s="223">
        <f t="shared" si="18"/>
        <v>422319.09657828248</v>
      </c>
      <c r="AU51" s="223">
        <f t="shared" si="18"/>
        <v>430765.47850984812</v>
      </c>
      <c r="AV51" s="223">
        <f t="shared" si="18"/>
        <v>439380.78808004508</v>
      </c>
      <c r="AW51" s="223">
        <f t="shared" si="18"/>
        <v>448168.40384164598</v>
      </c>
      <c r="AX51" s="223">
        <f t="shared" si="18"/>
        <v>457131.77191847889</v>
      </c>
      <c r="AY51" s="223">
        <f t="shared" si="18"/>
        <v>466274.40735684847</v>
      </c>
      <c r="AZ51" s="223">
        <f t="shared" si="18"/>
        <v>475599.89550398546</v>
      </c>
      <c r="BA51" s="223">
        <f t="shared" si="18"/>
        <v>485111.89341406518</v>
      </c>
      <c r="BB51" s="223">
        <f t="shared" si="18"/>
        <v>494814.1312823465</v>
      </c>
      <c r="BC51" s="223">
        <f t="shared" si="18"/>
        <v>504710.41390799341</v>
      </c>
      <c r="BD51" s="223">
        <f t="shared" si="18"/>
        <v>514804.62218615331</v>
      </c>
    </row>
    <row r="52" spans="1:56" s="151" customFormat="1" x14ac:dyDescent="0.25">
      <c r="A52" s="220"/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  <c r="AA52" s="293"/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</row>
    <row r="53" spans="1:56" s="151" customFormat="1" x14ac:dyDescent="0.25">
      <c r="A53" s="23" t="str">
        <f>A30</f>
        <v>Game publisher</v>
      </c>
      <c r="B53" s="24">
        <f>B47</f>
        <v>44593</v>
      </c>
      <c r="C53" s="24">
        <f t="shared" ref="C53:BD53" si="19">C47</f>
        <v>44624</v>
      </c>
      <c r="D53" s="24">
        <f t="shared" si="19"/>
        <v>44655</v>
      </c>
      <c r="E53" s="24">
        <f t="shared" si="19"/>
        <v>44686</v>
      </c>
      <c r="F53" s="24">
        <f t="shared" si="19"/>
        <v>44717</v>
      </c>
      <c r="G53" s="24">
        <f t="shared" si="19"/>
        <v>44748</v>
      </c>
      <c r="H53" s="24">
        <f t="shared" si="19"/>
        <v>44779</v>
      </c>
      <c r="I53" s="24">
        <f t="shared" si="19"/>
        <v>44810</v>
      </c>
      <c r="J53" s="24">
        <f t="shared" si="19"/>
        <v>44841</v>
      </c>
      <c r="K53" s="24">
        <f t="shared" si="19"/>
        <v>44872</v>
      </c>
      <c r="L53" s="24">
        <f t="shared" si="19"/>
        <v>44903</v>
      </c>
      <c r="M53" s="24">
        <f t="shared" si="19"/>
        <v>44934</v>
      </c>
      <c r="N53" s="24">
        <f t="shared" si="19"/>
        <v>44965</v>
      </c>
      <c r="O53" s="24">
        <f t="shared" si="19"/>
        <v>44996</v>
      </c>
      <c r="P53" s="24">
        <f t="shared" si="19"/>
        <v>45027</v>
      </c>
      <c r="Q53" s="24">
        <f t="shared" si="19"/>
        <v>45058</v>
      </c>
      <c r="R53" s="24">
        <f t="shared" si="19"/>
        <v>45089</v>
      </c>
      <c r="S53" s="24">
        <f t="shared" si="19"/>
        <v>45120</v>
      </c>
      <c r="T53" s="24">
        <f t="shared" si="19"/>
        <v>45151</v>
      </c>
      <c r="U53" s="24">
        <f t="shared" si="19"/>
        <v>45182</v>
      </c>
      <c r="V53" s="24">
        <f t="shared" si="19"/>
        <v>45213</v>
      </c>
      <c r="W53" s="24">
        <f t="shared" si="19"/>
        <v>45244</v>
      </c>
      <c r="X53" s="24">
        <f t="shared" si="19"/>
        <v>45275</v>
      </c>
      <c r="Y53" s="24">
        <f t="shared" si="19"/>
        <v>45306</v>
      </c>
      <c r="Z53" s="24">
        <f t="shared" si="19"/>
        <v>45337</v>
      </c>
      <c r="AA53" s="24">
        <f t="shared" si="19"/>
        <v>45368</v>
      </c>
      <c r="AB53" s="24">
        <f t="shared" si="19"/>
        <v>45399</v>
      </c>
      <c r="AC53" s="24">
        <f t="shared" si="19"/>
        <v>45430</v>
      </c>
      <c r="AD53" s="24">
        <f t="shared" si="19"/>
        <v>45461</v>
      </c>
      <c r="AE53" s="24">
        <f t="shared" si="19"/>
        <v>45492</v>
      </c>
      <c r="AF53" s="24">
        <f t="shared" si="19"/>
        <v>45523</v>
      </c>
      <c r="AG53" s="24">
        <f t="shared" si="19"/>
        <v>45554</v>
      </c>
      <c r="AH53" s="24">
        <f t="shared" si="19"/>
        <v>45585</v>
      </c>
      <c r="AI53" s="24">
        <f t="shared" si="19"/>
        <v>45616</v>
      </c>
      <c r="AJ53" s="24">
        <f t="shared" si="19"/>
        <v>45647</v>
      </c>
      <c r="AK53" s="24">
        <f t="shared" si="19"/>
        <v>45678</v>
      </c>
      <c r="AL53" s="24">
        <f t="shared" si="19"/>
        <v>45709</v>
      </c>
      <c r="AM53" s="24">
        <f t="shared" si="19"/>
        <v>45740</v>
      </c>
      <c r="AN53" s="24">
        <f t="shared" si="19"/>
        <v>45771</v>
      </c>
      <c r="AO53" s="24">
        <f t="shared" si="19"/>
        <v>45802</v>
      </c>
      <c r="AP53" s="24">
        <f t="shared" si="19"/>
        <v>45833</v>
      </c>
      <c r="AQ53" s="24">
        <f t="shared" si="19"/>
        <v>45864</v>
      </c>
      <c r="AR53" s="24">
        <f t="shared" si="19"/>
        <v>45895</v>
      </c>
      <c r="AS53" s="24">
        <f t="shared" si="19"/>
        <v>45926</v>
      </c>
      <c r="AT53" s="24">
        <f t="shared" si="19"/>
        <v>45957</v>
      </c>
      <c r="AU53" s="24">
        <f t="shared" si="19"/>
        <v>45988</v>
      </c>
      <c r="AV53" s="24">
        <f t="shared" si="19"/>
        <v>46019</v>
      </c>
      <c r="AW53" s="24">
        <f t="shared" si="19"/>
        <v>46050</v>
      </c>
      <c r="AX53" s="24">
        <f t="shared" si="19"/>
        <v>46081</v>
      </c>
      <c r="AY53" s="24">
        <f t="shared" si="19"/>
        <v>46112</v>
      </c>
      <c r="AZ53" s="24">
        <f t="shared" si="19"/>
        <v>46143</v>
      </c>
      <c r="BA53" s="24">
        <f t="shared" si="19"/>
        <v>46174</v>
      </c>
      <c r="BB53" s="24">
        <f t="shared" si="19"/>
        <v>46205</v>
      </c>
      <c r="BC53" s="24">
        <f t="shared" si="19"/>
        <v>46236</v>
      </c>
      <c r="BD53" s="24">
        <f t="shared" si="19"/>
        <v>46267</v>
      </c>
    </row>
    <row r="54" spans="1:56" s="151" customFormat="1" outlineLevel="1" x14ac:dyDescent="0.25">
      <c r="A54" s="151" t="str">
        <f>A53</f>
        <v>Game publisher</v>
      </c>
      <c r="B54" s="295" t="str">
        <f>B42</f>
        <v>0</v>
      </c>
      <c r="C54" s="295" t="str">
        <f t="shared" ref="C54:BD54" si="20">C42</f>
        <v>0</v>
      </c>
      <c r="D54" s="295" t="str">
        <f t="shared" si="20"/>
        <v>0</v>
      </c>
      <c r="E54" s="295" t="str">
        <f t="shared" si="20"/>
        <v>0</v>
      </c>
      <c r="F54" s="295" t="str">
        <f t="shared" si="20"/>
        <v>0</v>
      </c>
      <c r="G54" s="295" t="str">
        <f t="shared" si="20"/>
        <v>0</v>
      </c>
      <c r="H54" s="295" t="str">
        <f t="shared" si="20"/>
        <v>0</v>
      </c>
      <c r="I54" s="295">
        <f t="shared" si="20"/>
        <v>1199.5012509420021</v>
      </c>
      <c r="J54" s="295">
        <f t="shared" si="20"/>
        <v>1281.7930480750201</v>
      </c>
      <c r="K54" s="295">
        <f t="shared" si="20"/>
        <v>1364.8323651165424</v>
      </c>
      <c r="L54" s="295">
        <f t="shared" si="20"/>
        <v>1448.6760156414675</v>
      </c>
      <c r="M54" s="295">
        <f t="shared" si="20"/>
        <v>1570.4499908838741</v>
      </c>
      <c r="N54" s="295">
        <f t="shared" si="20"/>
        <v>1693.3531525448764</v>
      </c>
      <c r="O54" s="295">
        <f t="shared" si="20"/>
        <v>1817.4719069701987</v>
      </c>
      <c r="P54" s="295">
        <f t="shared" si="20"/>
        <v>1942.9056214574225</v>
      </c>
      <c r="Q54" s="295">
        <f t="shared" si="20"/>
        <v>2069.7685683987665</v>
      </c>
      <c r="R54" s="295">
        <f t="shared" si="20"/>
        <v>2198.192161045281</v>
      </c>
      <c r="S54" s="295">
        <f t="shared" si="20"/>
        <v>2328.3275246356784</v>
      </c>
      <c r="T54" s="295">
        <f t="shared" si="20"/>
        <v>2460.3484531944732</v>
      </c>
      <c r="U54" s="295">
        <f t="shared" si="20"/>
        <v>2594.4548098498576</v>
      </c>
      <c r="V54" s="295">
        <f t="shared" si="20"/>
        <v>2730.8764371992552</v>
      </c>
      <c r="W54" s="295">
        <f t="shared" si="20"/>
        <v>2869.877654229701</v>
      </c>
      <c r="X54" s="295">
        <f t="shared" si="20"/>
        <v>3011.7624277762866</v>
      </c>
      <c r="Y54" s="295">
        <f t="shared" si="20"/>
        <v>3179.1167130731337</v>
      </c>
      <c r="Z54" s="295">
        <f t="shared" si="20"/>
        <v>3350.216741708638</v>
      </c>
      <c r="AA54" s="295">
        <f t="shared" si="20"/>
        <v>3525.5248092431179</v>
      </c>
      <c r="AB54" s="295">
        <f t="shared" si="20"/>
        <v>3705.5792829027537</v>
      </c>
      <c r="AC54" s="295">
        <f t="shared" si="20"/>
        <v>3890.9858638033384</v>
      </c>
      <c r="AD54" s="295">
        <f t="shared" si="20"/>
        <v>4082.4478020905335</v>
      </c>
      <c r="AE54" s="295">
        <f t="shared" si="20"/>
        <v>4280.7738354318544</v>
      </c>
      <c r="AF54" s="295">
        <f t="shared" si="20"/>
        <v>4486.8940121449377</v>
      </c>
      <c r="AG54" s="295">
        <f t="shared" si="20"/>
        <v>4701.877887795069</v>
      </c>
      <c r="AH54" s="295">
        <f t="shared" si="20"/>
        <v>4926.9554512823252</v>
      </c>
      <c r="AI54" s="295">
        <f t="shared" si="20"/>
        <v>5163.5411898417969</v>
      </c>
      <c r="AJ54" s="295">
        <f t="shared" si="20"/>
        <v>5413.2617637938347</v>
      </c>
      <c r="AK54" s="295">
        <f t="shared" si="20"/>
        <v>5413.2617637938347</v>
      </c>
      <c r="AL54" s="295">
        <f t="shared" si="20"/>
        <v>5413.2617637938347</v>
      </c>
      <c r="AM54" s="295">
        <f t="shared" si="20"/>
        <v>5413.2617637938347</v>
      </c>
      <c r="AN54" s="295">
        <f t="shared" si="20"/>
        <v>5413.2617637938347</v>
      </c>
      <c r="AO54" s="295">
        <f t="shared" si="20"/>
        <v>5413.2617637938347</v>
      </c>
      <c r="AP54" s="295">
        <f t="shared" si="20"/>
        <v>5413.2617637938347</v>
      </c>
      <c r="AQ54" s="295">
        <f t="shared" si="20"/>
        <v>5413.2617637938347</v>
      </c>
      <c r="AR54" s="295">
        <f t="shared" si="20"/>
        <v>5413.2617637938347</v>
      </c>
      <c r="AS54" s="295">
        <f t="shared" si="20"/>
        <v>5413.2617637938347</v>
      </c>
      <c r="AT54" s="295">
        <f t="shared" si="20"/>
        <v>5413.2617637938347</v>
      </c>
      <c r="AU54" s="295">
        <f t="shared" si="20"/>
        <v>5413.2617637938347</v>
      </c>
      <c r="AV54" s="295">
        <f t="shared" si="20"/>
        <v>5413.2617637938347</v>
      </c>
      <c r="AW54" s="295">
        <f t="shared" si="20"/>
        <v>5413.2617637938347</v>
      </c>
      <c r="AX54" s="295">
        <f t="shared" si="20"/>
        <v>5413.2617637938347</v>
      </c>
      <c r="AY54" s="295">
        <f t="shared" si="20"/>
        <v>5413.2617637938347</v>
      </c>
      <c r="AZ54" s="295">
        <f t="shared" si="20"/>
        <v>5413.2617637938347</v>
      </c>
      <c r="BA54" s="295">
        <f t="shared" si="20"/>
        <v>5413.2617637938347</v>
      </c>
      <c r="BB54" s="295">
        <f t="shared" si="20"/>
        <v>5413.2617637938347</v>
      </c>
      <c r="BC54" s="295">
        <f t="shared" si="20"/>
        <v>5413.2617637938347</v>
      </c>
      <c r="BD54" s="295">
        <f t="shared" si="20"/>
        <v>5413.2617637938347</v>
      </c>
    </row>
    <row r="55" spans="1:56" s="151" customFormat="1" outlineLevel="1" x14ac:dyDescent="0.25">
      <c r="A55" s="151" t="s">
        <v>461</v>
      </c>
      <c r="B55" s="295">
        <f>IFERROR(B54*$C$32,"0")</f>
        <v>0</v>
      </c>
      <c r="C55" s="295">
        <f t="shared" ref="C55:BD55" si="21">IFERROR(C54*$C$32,"0")</f>
        <v>0</v>
      </c>
      <c r="D55" s="295">
        <f t="shared" si="21"/>
        <v>0</v>
      </c>
      <c r="E55" s="295">
        <f t="shared" si="21"/>
        <v>0</v>
      </c>
      <c r="F55" s="295">
        <f t="shared" si="21"/>
        <v>0</v>
      </c>
      <c r="G55" s="295">
        <f t="shared" si="21"/>
        <v>0</v>
      </c>
      <c r="H55" s="295">
        <f t="shared" si="21"/>
        <v>0</v>
      </c>
      <c r="I55" s="295">
        <f t="shared" si="21"/>
        <v>3.5985037528260064</v>
      </c>
      <c r="J55" s="295">
        <f t="shared" si="21"/>
        <v>3.8453791442250607</v>
      </c>
      <c r="K55" s="295">
        <f t="shared" si="21"/>
        <v>4.0944970953496274</v>
      </c>
      <c r="L55" s="295">
        <f t="shared" si="21"/>
        <v>4.3460280469244026</v>
      </c>
      <c r="M55" s="295">
        <f t="shared" si="21"/>
        <v>4.7113499726516226</v>
      </c>
      <c r="N55" s="295">
        <f t="shared" si="21"/>
        <v>5.0800594576346292</v>
      </c>
      <c r="O55" s="295">
        <f t="shared" si="21"/>
        <v>5.4524157209105963</v>
      </c>
      <c r="P55" s="295">
        <f t="shared" si="21"/>
        <v>5.828716864372268</v>
      </c>
      <c r="Q55" s="295">
        <f t="shared" si="21"/>
        <v>6.2093057051963001</v>
      </c>
      <c r="R55" s="295">
        <f t="shared" si="21"/>
        <v>6.5945764831358433</v>
      </c>
      <c r="S55" s="295">
        <f t="shared" si="21"/>
        <v>6.9849825739070353</v>
      </c>
      <c r="T55" s="295">
        <f t="shared" si="21"/>
        <v>7.3810453595834202</v>
      </c>
      <c r="U55" s="295">
        <f t="shared" si="21"/>
        <v>7.7833644295495734</v>
      </c>
      <c r="V55" s="295">
        <f t="shared" si="21"/>
        <v>8.1926293115977664</v>
      </c>
      <c r="W55" s="295">
        <f t="shared" si="21"/>
        <v>8.6096329626891031</v>
      </c>
      <c r="X55" s="295">
        <f t="shared" si="21"/>
        <v>9.0352872833288593</v>
      </c>
      <c r="Y55" s="295">
        <f t="shared" si="21"/>
        <v>9.5373501392194022</v>
      </c>
      <c r="Z55" s="295">
        <f t="shared" si="21"/>
        <v>10.050650225125914</v>
      </c>
      <c r="AA55" s="295">
        <f t="shared" si="21"/>
        <v>10.576574427729353</v>
      </c>
      <c r="AB55" s="295">
        <f t="shared" si="21"/>
        <v>11.116737848708262</v>
      </c>
      <c r="AC55" s="295">
        <f t="shared" si="21"/>
        <v>11.672957591410015</v>
      </c>
      <c r="AD55" s="295">
        <f t="shared" si="21"/>
        <v>12.2473434062716</v>
      </c>
      <c r="AE55" s="295">
        <f t="shared" si="21"/>
        <v>12.842321506295564</v>
      </c>
      <c r="AF55" s="295">
        <f t="shared" si="21"/>
        <v>13.460682036434813</v>
      </c>
      <c r="AG55" s="295">
        <f t="shared" si="21"/>
        <v>14.105633663385207</v>
      </c>
      <c r="AH55" s="295">
        <f t="shared" si="21"/>
        <v>14.780866353846976</v>
      </c>
      <c r="AI55" s="295">
        <f t="shared" si="21"/>
        <v>15.490623569525392</v>
      </c>
      <c r="AJ55" s="295">
        <f t="shared" si="21"/>
        <v>16.239785291381505</v>
      </c>
      <c r="AK55" s="295">
        <f t="shared" si="21"/>
        <v>16.239785291381505</v>
      </c>
      <c r="AL55" s="295">
        <f t="shared" si="21"/>
        <v>16.239785291381505</v>
      </c>
      <c r="AM55" s="295">
        <f t="shared" si="21"/>
        <v>16.239785291381505</v>
      </c>
      <c r="AN55" s="295">
        <f t="shared" si="21"/>
        <v>16.239785291381505</v>
      </c>
      <c r="AO55" s="295">
        <f t="shared" si="21"/>
        <v>16.239785291381505</v>
      </c>
      <c r="AP55" s="295">
        <f t="shared" si="21"/>
        <v>16.239785291381505</v>
      </c>
      <c r="AQ55" s="295">
        <f t="shared" si="21"/>
        <v>16.239785291381505</v>
      </c>
      <c r="AR55" s="295">
        <f t="shared" si="21"/>
        <v>16.239785291381505</v>
      </c>
      <c r="AS55" s="295">
        <f t="shared" si="21"/>
        <v>16.239785291381505</v>
      </c>
      <c r="AT55" s="295">
        <f t="shared" si="21"/>
        <v>16.239785291381505</v>
      </c>
      <c r="AU55" s="295">
        <f t="shared" si="21"/>
        <v>16.239785291381505</v>
      </c>
      <c r="AV55" s="295">
        <f t="shared" si="21"/>
        <v>16.239785291381505</v>
      </c>
      <c r="AW55" s="295">
        <f t="shared" si="21"/>
        <v>16.239785291381505</v>
      </c>
      <c r="AX55" s="295">
        <f t="shared" si="21"/>
        <v>16.239785291381505</v>
      </c>
      <c r="AY55" s="295">
        <f t="shared" si="21"/>
        <v>16.239785291381505</v>
      </c>
      <c r="AZ55" s="295">
        <f t="shared" si="21"/>
        <v>16.239785291381505</v>
      </c>
      <c r="BA55" s="295">
        <f t="shared" si="21"/>
        <v>16.239785291381505</v>
      </c>
      <c r="BB55" s="295">
        <f t="shared" si="21"/>
        <v>16.239785291381505</v>
      </c>
      <c r="BC55" s="295">
        <f t="shared" si="21"/>
        <v>16.239785291381505</v>
      </c>
      <c r="BD55" s="295">
        <f t="shared" si="21"/>
        <v>16.239785291381505</v>
      </c>
    </row>
    <row r="56" spans="1:56" s="151" customFormat="1" outlineLevel="1" x14ac:dyDescent="0.25">
      <c r="A56" s="151" t="s">
        <v>458</v>
      </c>
      <c r="B56" s="294">
        <f>IFERROR(B55*$C$27,"0")</f>
        <v>0</v>
      </c>
      <c r="C56" s="294">
        <f t="shared" ref="C56:BD56" si="22">IFERROR(C55*$C$27,"0")</f>
        <v>0</v>
      </c>
      <c r="D56" s="294">
        <f t="shared" si="22"/>
        <v>0</v>
      </c>
      <c r="E56" s="294">
        <f t="shared" si="22"/>
        <v>0</v>
      </c>
      <c r="F56" s="294">
        <f t="shared" si="22"/>
        <v>0</v>
      </c>
      <c r="G56" s="294">
        <f t="shared" si="22"/>
        <v>0</v>
      </c>
      <c r="H56" s="294">
        <f t="shared" si="22"/>
        <v>0</v>
      </c>
      <c r="I56" s="294">
        <f t="shared" si="22"/>
        <v>107955.11258478019</v>
      </c>
      <c r="J56" s="294">
        <f t="shared" si="22"/>
        <v>115361.37432675181</v>
      </c>
      <c r="K56" s="294">
        <f t="shared" si="22"/>
        <v>122834.91286048882</v>
      </c>
      <c r="L56" s="294">
        <f t="shared" si="22"/>
        <v>130380.84140773208</v>
      </c>
      <c r="M56" s="294">
        <f t="shared" si="22"/>
        <v>141340.49917954867</v>
      </c>
      <c r="N56" s="294">
        <f t="shared" si="22"/>
        <v>152401.78372903887</v>
      </c>
      <c r="O56" s="294">
        <f t="shared" si="22"/>
        <v>163572.47162731789</v>
      </c>
      <c r="P56" s="294">
        <f t="shared" si="22"/>
        <v>174861.50593116804</v>
      </c>
      <c r="Q56" s="294">
        <f t="shared" si="22"/>
        <v>186279.17115588899</v>
      </c>
      <c r="R56" s="294">
        <f t="shared" si="22"/>
        <v>197837.29449407529</v>
      </c>
      <c r="S56" s="294">
        <f t="shared" si="22"/>
        <v>209549.47721721107</v>
      </c>
      <c r="T56" s="294">
        <f t="shared" si="22"/>
        <v>221431.36078750261</v>
      </c>
      <c r="U56" s="294">
        <f t="shared" si="22"/>
        <v>233500.93288648719</v>
      </c>
      <c r="V56" s="294">
        <f t="shared" si="22"/>
        <v>245778.87934793299</v>
      </c>
      <c r="W56" s="294">
        <f t="shared" si="22"/>
        <v>258288.9888806731</v>
      </c>
      <c r="X56" s="294">
        <f t="shared" si="22"/>
        <v>271058.61849986576</v>
      </c>
      <c r="Y56" s="294">
        <f t="shared" si="22"/>
        <v>286120.50417658209</v>
      </c>
      <c r="Z56" s="294">
        <f t="shared" si="22"/>
        <v>301519.50675377739</v>
      </c>
      <c r="AA56" s="294">
        <f t="shared" si="22"/>
        <v>317297.23283188057</v>
      </c>
      <c r="AB56" s="294">
        <f t="shared" si="22"/>
        <v>333502.13546124782</v>
      </c>
      <c r="AC56" s="294">
        <f t="shared" si="22"/>
        <v>350188.72774230043</v>
      </c>
      <c r="AD56" s="294">
        <f t="shared" si="22"/>
        <v>367420.30218814802</v>
      </c>
      <c r="AE56" s="294">
        <f t="shared" si="22"/>
        <v>385269.64518886694</v>
      </c>
      <c r="AF56" s="294">
        <f t="shared" si="22"/>
        <v>403820.46109304437</v>
      </c>
      <c r="AG56" s="294">
        <f t="shared" si="22"/>
        <v>423169.00990155624</v>
      </c>
      <c r="AH56" s="294">
        <f t="shared" si="22"/>
        <v>443425.99061540928</v>
      </c>
      <c r="AI56" s="294">
        <f t="shared" si="22"/>
        <v>464718.70708576177</v>
      </c>
      <c r="AJ56" s="294">
        <f t="shared" si="22"/>
        <v>487193.55874144513</v>
      </c>
      <c r="AK56" s="294">
        <f t="shared" si="22"/>
        <v>487193.55874144513</v>
      </c>
      <c r="AL56" s="294">
        <f t="shared" si="22"/>
        <v>487193.55874144513</v>
      </c>
      <c r="AM56" s="294">
        <f t="shared" si="22"/>
        <v>487193.55874144513</v>
      </c>
      <c r="AN56" s="294">
        <f t="shared" si="22"/>
        <v>487193.55874144513</v>
      </c>
      <c r="AO56" s="294">
        <f t="shared" si="22"/>
        <v>487193.55874144513</v>
      </c>
      <c r="AP56" s="294">
        <f t="shared" si="22"/>
        <v>487193.55874144513</v>
      </c>
      <c r="AQ56" s="294">
        <f t="shared" si="22"/>
        <v>487193.55874144513</v>
      </c>
      <c r="AR56" s="294">
        <f t="shared" si="22"/>
        <v>487193.55874144513</v>
      </c>
      <c r="AS56" s="294">
        <f t="shared" si="22"/>
        <v>487193.55874144513</v>
      </c>
      <c r="AT56" s="294">
        <f t="shared" si="22"/>
        <v>487193.55874144513</v>
      </c>
      <c r="AU56" s="294">
        <f t="shared" si="22"/>
        <v>487193.55874144513</v>
      </c>
      <c r="AV56" s="294">
        <f t="shared" si="22"/>
        <v>487193.55874144513</v>
      </c>
      <c r="AW56" s="294">
        <f t="shared" si="22"/>
        <v>487193.55874144513</v>
      </c>
      <c r="AX56" s="294">
        <f t="shared" si="22"/>
        <v>487193.55874144513</v>
      </c>
      <c r="AY56" s="294">
        <f t="shared" si="22"/>
        <v>487193.55874144513</v>
      </c>
      <c r="AZ56" s="294">
        <f t="shared" si="22"/>
        <v>487193.55874144513</v>
      </c>
      <c r="BA56" s="294">
        <f t="shared" si="22"/>
        <v>487193.55874144513</v>
      </c>
      <c r="BB56" s="294">
        <f t="shared" si="22"/>
        <v>487193.55874144513</v>
      </c>
      <c r="BC56" s="294">
        <f t="shared" si="22"/>
        <v>487193.55874144513</v>
      </c>
      <c r="BD56" s="294">
        <f t="shared" si="22"/>
        <v>487193.55874144513</v>
      </c>
    </row>
    <row r="57" spans="1:56" s="151" customFormat="1" x14ac:dyDescent="0.25">
      <c r="A57" s="218" t="s">
        <v>466</v>
      </c>
      <c r="B57" s="223">
        <f>IFERROR(B56*$C$35,"0")</f>
        <v>0</v>
      </c>
      <c r="C57" s="223">
        <f t="shared" ref="C57:AH57" si="23">IFERROR(IF(C56&gt;B56,C56*$C$35,B57*(1+$C$37)),"0")</f>
        <v>0</v>
      </c>
      <c r="D57" s="223">
        <f t="shared" si="23"/>
        <v>0</v>
      </c>
      <c r="E57" s="223">
        <f t="shared" si="23"/>
        <v>0</v>
      </c>
      <c r="F57" s="223">
        <f t="shared" si="23"/>
        <v>0</v>
      </c>
      <c r="G57" s="223">
        <f t="shared" si="23"/>
        <v>0</v>
      </c>
      <c r="H57" s="223">
        <f t="shared" si="23"/>
        <v>0</v>
      </c>
      <c r="I57" s="223">
        <f t="shared" si="23"/>
        <v>16193.266887717027</v>
      </c>
      <c r="J57" s="223">
        <f t="shared" si="23"/>
        <v>17304.206149012771</v>
      </c>
      <c r="K57" s="223">
        <f t="shared" si="23"/>
        <v>18425.236929073322</v>
      </c>
      <c r="L57" s="223">
        <f t="shared" si="23"/>
        <v>19557.126211159812</v>
      </c>
      <c r="M57" s="223">
        <f t="shared" si="23"/>
        <v>21201.0748769323</v>
      </c>
      <c r="N57" s="223">
        <f t="shared" si="23"/>
        <v>22860.267559355831</v>
      </c>
      <c r="O57" s="223">
        <f t="shared" si="23"/>
        <v>24535.870744097683</v>
      </c>
      <c r="P57" s="223">
        <f t="shared" si="23"/>
        <v>26229.225889675206</v>
      </c>
      <c r="Q57" s="223">
        <f t="shared" si="23"/>
        <v>27941.875673383347</v>
      </c>
      <c r="R57" s="223">
        <f t="shared" si="23"/>
        <v>29675.594174111291</v>
      </c>
      <c r="S57" s="223">
        <f t="shared" si="23"/>
        <v>31432.421582581657</v>
      </c>
      <c r="T57" s="223">
        <f t="shared" si="23"/>
        <v>33214.704118125388</v>
      </c>
      <c r="U57" s="223">
        <f t="shared" si="23"/>
        <v>35025.139932973078</v>
      </c>
      <c r="V57" s="223">
        <f t="shared" si="23"/>
        <v>36866.831902189944</v>
      </c>
      <c r="W57" s="223">
        <f t="shared" si="23"/>
        <v>38743.348332100963</v>
      </c>
      <c r="X57" s="223">
        <f t="shared" si="23"/>
        <v>40658.792774979862</v>
      </c>
      <c r="Y57" s="223">
        <f t="shared" si="23"/>
        <v>42918.075626487313</v>
      </c>
      <c r="Z57" s="223">
        <f t="shared" si="23"/>
        <v>45227.926013066608</v>
      </c>
      <c r="AA57" s="223">
        <f t="shared" si="23"/>
        <v>47594.584924782081</v>
      </c>
      <c r="AB57" s="223">
        <f t="shared" si="23"/>
        <v>50025.320319187173</v>
      </c>
      <c r="AC57" s="223">
        <f t="shared" si="23"/>
        <v>52528.30916134506</v>
      </c>
      <c r="AD57" s="223">
        <f t="shared" si="23"/>
        <v>55113.045328222201</v>
      </c>
      <c r="AE57" s="223">
        <f t="shared" si="23"/>
        <v>57790.446778330042</v>
      </c>
      <c r="AF57" s="223">
        <f t="shared" si="23"/>
        <v>60573.06916395665</v>
      </c>
      <c r="AG57" s="223">
        <f t="shared" si="23"/>
        <v>63475.351485233434</v>
      </c>
      <c r="AH57" s="223">
        <f t="shared" si="23"/>
        <v>66513.898592311394</v>
      </c>
      <c r="AI57" s="223">
        <f t="shared" ref="AI57:BD57" si="24">IFERROR(IF(AI56&gt;AH56,AI56*$C$35,AH57*(1+$C$37)),"0")</f>
        <v>69707.806062864256</v>
      </c>
      <c r="AJ57" s="223">
        <f t="shared" si="24"/>
        <v>73079.033811216766</v>
      </c>
      <c r="AK57" s="223">
        <f t="shared" si="24"/>
        <v>74540.614487441097</v>
      </c>
      <c r="AL57" s="223">
        <f t="shared" si="24"/>
        <v>76031.426777189918</v>
      </c>
      <c r="AM57" s="223">
        <f t="shared" si="24"/>
        <v>77552.055312733719</v>
      </c>
      <c r="AN57" s="223">
        <f t="shared" si="24"/>
        <v>79103.096418988396</v>
      </c>
      <c r="AO57" s="223">
        <f t="shared" si="24"/>
        <v>80685.158347368168</v>
      </c>
      <c r="AP57" s="223">
        <f t="shared" si="24"/>
        <v>82298.861514315533</v>
      </c>
      <c r="AQ57" s="223">
        <f t="shared" si="24"/>
        <v>83944.838744601846</v>
      </c>
      <c r="AR57" s="223">
        <f t="shared" si="24"/>
        <v>85623.735519493886</v>
      </c>
      <c r="AS57" s="223">
        <f t="shared" si="24"/>
        <v>87336.210229883771</v>
      </c>
      <c r="AT57" s="223">
        <f t="shared" si="24"/>
        <v>89082.934434481445</v>
      </c>
      <c r="AU57" s="223">
        <f t="shared" si="24"/>
        <v>90864.593123171071</v>
      </c>
      <c r="AV57" s="223">
        <f t="shared" si="24"/>
        <v>92681.88498563449</v>
      </c>
      <c r="AW57" s="223">
        <f t="shared" si="24"/>
        <v>94535.522685347183</v>
      </c>
      <c r="AX57" s="223">
        <f t="shared" si="24"/>
        <v>96426.233139054122</v>
      </c>
      <c r="AY57" s="223">
        <f t="shared" si="24"/>
        <v>98354.757801835207</v>
      </c>
      <c r="AZ57" s="223">
        <f t="shared" si="24"/>
        <v>100321.85295787192</v>
      </c>
      <c r="BA57" s="223">
        <f t="shared" si="24"/>
        <v>102328.29001702936</v>
      </c>
      <c r="BB57" s="223">
        <f t="shared" si="24"/>
        <v>104374.85581736994</v>
      </c>
      <c r="BC57" s="223">
        <f t="shared" si="24"/>
        <v>106462.35293371734</v>
      </c>
      <c r="BD57" s="223">
        <f t="shared" si="24"/>
        <v>108591.59999239168</v>
      </c>
    </row>
    <row r="58" spans="1:56" s="151" customFormat="1" x14ac:dyDescent="0.25">
      <c r="A58" s="220"/>
      <c r="B58" s="293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3"/>
      <c r="X58" s="293"/>
      <c r="Y58" s="293"/>
      <c r="Z58" s="293"/>
      <c r="AA58" s="293"/>
      <c r="AB58" s="293"/>
      <c r="AC58" s="293"/>
      <c r="AD58" s="293"/>
      <c r="AE58" s="293"/>
      <c r="AF58" s="293"/>
      <c r="AG58" s="293"/>
      <c r="AH58" s="293"/>
      <c r="AI58" s="293"/>
      <c r="AJ58" s="293"/>
      <c r="AK58" s="293"/>
      <c r="AL58" s="293"/>
      <c r="AM58" s="293"/>
      <c r="AN58" s="293"/>
      <c r="AO58" s="293"/>
      <c r="AP58" s="293"/>
      <c r="AQ58" s="293"/>
      <c r="AR58" s="293"/>
      <c r="AS58" s="293"/>
      <c r="AT58" s="293"/>
      <c r="AU58" s="293"/>
      <c r="AV58" s="293"/>
      <c r="AW58" s="293"/>
      <c r="AX58" s="293"/>
      <c r="AY58" s="293"/>
      <c r="AZ58" s="293"/>
      <c r="BA58" s="293"/>
      <c r="BB58" s="293"/>
      <c r="BC58" s="293"/>
      <c r="BD58" s="293"/>
    </row>
    <row r="59" spans="1:56" s="151" customFormat="1" x14ac:dyDescent="0.25">
      <c r="A59" s="9" t="str">
        <f>A44</f>
        <v>Youtubers / Twitch streamers</v>
      </c>
      <c r="B59" s="62">
        <f>B53</f>
        <v>44593</v>
      </c>
      <c r="C59" s="62">
        <f t="shared" ref="C59:BD59" si="25">C53</f>
        <v>44624</v>
      </c>
      <c r="D59" s="62">
        <f t="shared" si="25"/>
        <v>44655</v>
      </c>
      <c r="E59" s="62">
        <f t="shared" si="25"/>
        <v>44686</v>
      </c>
      <c r="F59" s="62">
        <f t="shared" si="25"/>
        <v>44717</v>
      </c>
      <c r="G59" s="62">
        <f t="shared" si="25"/>
        <v>44748</v>
      </c>
      <c r="H59" s="62">
        <f t="shared" si="25"/>
        <v>44779</v>
      </c>
      <c r="I59" s="62">
        <f t="shared" si="25"/>
        <v>44810</v>
      </c>
      <c r="J59" s="62">
        <f t="shared" si="25"/>
        <v>44841</v>
      </c>
      <c r="K59" s="62">
        <f t="shared" si="25"/>
        <v>44872</v>
      </c>
      <c r="L59" s="62">
        <f t="shared" si="25"/>
        <v>44903</v>
      </c>
      <c r="M59" s="62">
        <f t="shared" si="25"/>
        <v>44934</v>
      </c>
      <c r="N59" s="62">
        <f t="shared" si="25"/>
        <v>44965</v>
      </c>
      <c r="O59" s="62">
        <f t="shared" si="25"/>
        <v>44996</v>
      </c>
      <c r="P59" s="62">
        <f t="shared" si="25"/>
        <v>45027</v>
      </c>
      <c r="Q59" s="62">
        <f t="shared" si="25"/>
        <v>45058</v>
      </c>
      <c r="R59" s="62">
        <f t="shared" si="25"/>
        <v>45089</v>
      </c>
      <c r="S59" s="62">
        <f t="shared" si="25"/>
        <v>45120</v>
      </c>
      <c r="T59" s="62">
        <f t="shared" si="25"/>
        <v>45151</v>
      </c>
      <c r="U59" s="62">
        <f t="shared" si="25"/>
        <v>45182</v>
      </c>
      <c r="V59" s="62">
        <f t="shared" si="25"/>
        <v>45213</v>
      </c>
      <c r="W59" s="62">
        <f t="shared" si="25"/>
        <v>45244</v>
      </c>
      <c r="X59" s="62">
        <f t="shared" si="25"/>
        <v>45275</v>
      </c>
      <c r="Y59" s="62">
        <f t="shared" si="25"/>
        <v>45306</v>
      </c>
      <c r="Z59" s="62">
        <f t="shared" si="25"/>
        <v>45337</v>
      </c>
      <c r="AA59" s="62">
        <f t="shared" si="25"/>
        <v>45368</v>
      </c>
      <c r="AB59" s="62">
        <f t="shared" si="25"/>
        <v>45399</v>
      </c>
      <c r="AC59" s="62">
        <f t="shared" si="25"/>
        <v>45430</v>
      </c>
      <c r="AD59" s="62">
        <f t="shared" si="25"/>
        <v>45461</v>
      </c>
      <c r="AE59" s="62">
        <f t="shared" si="25"/>
        <v>45492</v>
      </c>
      <c r="AF59" s="62">
        <f t="shared" si="25"/>
        <v>45523</v>
      </c>
      <c r="AG59" s="62">
        <f t="shared" si="25"/>
        <v>45554</v>
      </c>
      <c r="AH59" s="62">
        <f t="shared" si="25"/>
        <v>45585</v>
      </c>
      <c r="AI59" s="62">
        <f t="shared" si="25"/>
        <v>45616</v>
      </c>
      <c r="AJ59" s="62">
        <f t="shared" si="25"/>
        <v>45647</v>
      </c>
      <c r="AK59" s="62">
        <f t="shared" si="25"/>
        <v>45678</v>
      </c>
      <c r="AL59" s="62">
        <f t="shared" si="25"/>
        <v>45709</v>
      </c>
      <c r="AM59" s="62">
        <f t="shared" si="25"/>
        <v>45740</v>
      </c>
      <c r="AN59" s="62">
        <f t="shared" si="25"/>
        <v>45771</v>
      </c>
      <c r="AO59" s="62">
        <f t="shared" si="25"/>
        <v>45802</v>
      </c>
      <c r="AP59" s="62">
        <f t="shared" si="25"/>
        <v>45833</v>
      </c>
      <c r="AQ59" s="62">
        <f t="shared" si="25"/>
        <v>45864</v>
      </c>
      <c r="AR59" s="62">
        <f t="shared" si="25"/>
        <v>45895</v>
      </c>
      <c r="AS59" s="62">
        <f t="shared" si="25"/>
        <v>45926</v>
      </c>
      <c r="AT59" s="62">
        <f t="shared" si="25"/>
        <v>45957</v>
      </c>
      <c r="AU59" s="62">
        <f t="shared" si="25"/>
        <v>45988</v>
      </c>
      <c r="AV59" s="62">
        <f t="shared" si="25"/>
        <v>46019</v>
      </c>
      <c r="AW59" s="62">
        <f t="shared" si="25"/>
        <v>46050</v>
      </c>
      <c r="AX59" s="62">
        <f t="shared" si="25"/>
        <v>46081</v>
      </c>
      <c r="AY59" s="62">
        <f t="shared" si="25"/>
        <v>46112</v>
      </c>
      <c r="AZ59" s="62">
        <f t="shared" si="25"/>
        <v>46143</v>
      </c>
      <c r="BA59" s="62">
        <f t="shared" si="25"/>
        <v>46174</v>
      </c>
      <c r="BB59" s="62">
        <f t="shared" si="25"/>
        <v>46205</v>
      </c>
      <c r="BC59" s="62">
        <f t="shared" si="25"/>
        <v>46236</v>
      </c>
      <c r="BD59" s="62">
        <f t="shared" si="25"/>
        <v>46267</v>
      </c>
    </row>
    <row r="60" spans="1:56" s="151" customFormat="1" outlineLevel="1" x14ac:dyDescent="0.25">
      <c r="A60" s="151" t="str">
        <f>A59</f>
        <v>Youtubers / Twitch streamers</v>
      </c>
      <c r="B60" s="295" t="str">
        <f>B44</f>
        <v>0</v>
      </c>
      <c r="C60" s="295" t="str">
        <f t="shared" ref="C60:BD60" si="26">C44</f>
        <v>0</v>
      </c>
      <c r="D60" s="295" t="str">
        <f t="shared" si="26"/>
        <v>0</v>
      </c>
      <c r="E60" s="295" t="str">
        <f t="shared" si="26"/>
        <v>0</v>
      </c>
      <c r="F60" s="295" t="str">
        <f t="shared" si="26"/>
        <v>0</v>
      </c>
      <c r="G60" s="295" t="str">
        <f t="shared" si="26"/>
        <v>0</v>
      </c>
      <c r="H60" s="295" t="str">
        <f t="shared" si="26"/>
        <v>0</v>
      </c>
      <c r="I60" s="295">
        <f t="shared" si="26"/>
        <v>0</v>
      </c>
      <c r="J60" s="295">
        <f t="shared" si="26"/>
        <v>0</v>
      </c>
      <c r="K60" s="295">
        <f t="shared" si="26"/>
        <v>0</v>
      </c>
      <c r="L60" s="295">
        <f t="shared" si="26"/>
        <v>0</v>
      </c>
      <c r="M60" s="295">
        <f t="shared" si="26"/>
        <v>0</v>
      </c>
      <c r="N60" s="295">
        <f t="shared" si="26"/>
        <v>0</v>
      </c>
      <c r="O60" s="295">
        <f t="shared" si="26"/>
        <v>0</v>
      </c>
      <c r="P60" s="295">
        <f t="shared" si="26"/>
        <v>0</v>
      </c>
      <c r="Q60" s="295">
        <f t="shared" si="26"/>
        <v>0</v>
      </c>
      <c r="R60" s="295">
        <f t="shared" si="26"/>
        <v>0</v>
      </c>
      <c r="S60" s="295">
        <f t="shared" si="26"/>
        <v>0</v>
      </c>
      <c r="T60" s="295">
        <f t="shared" si="26"/>
        <v>0</v>
      </c>
      <c r="U60" s="295">
        <f t="shared" si="26"/>
        <v>0</v>
      </c>
      <c r="V60" s="295">
        <f t="shared" si="26"/>
        <v>0</v>
      </c>
      <c r="W60" s="295">
        <f t="shared" si="26"/>
        <v>0</v>
      </c>
      <c r="X60" s="295">
        <f t="shared" si="26"/>
        <v>0</v>
      </c>
      <c r="Y60" s="295">
        <f t="shared" si="26"/>
        <v>0</v>
      </c>
      <c r="Z60" s="295">
        <f t="shared" si="26"/>
        <v>0</v>
      </c>
      <c r="AA60" s="295">
        <f t="shared" si="26"/>
        <v>0</v>
      </c>
      <c r="AB60" s="295">
        <f t="shared" si="26"/>
        <v>0</v>
      </c>
      <c r="AC60" s="295">
        <f t="shared" si="26"/>
        <v>0</v>
      </c>
      <c r="AD60" s="295">
        <f t="shared" si="26"/>
        <v>0</v>
      </c>
      <c r="AE60" s="295">
        <f t="shared" si="26"/>
        <v>0</v>
      </c>
      <c r="AF60" s="295">
        <f t="shared" si="26"/>
        <v>0</v>
      </c>
      <c r="AG60" s="295">
        <f t="shared" si="26"/>
        <v>0</v>
      </c>
      <c r="AH60" s="295">
        <f t="shared" si="26"/>
        <v>0</v>
      </c>
      <c r="AI60" s="295">
        <f t="shared" si="26"/>
        <v>0</v>
      </c>
      <c r="AJ60" s="295">
        <f t="shared" si="26"/>
        <v>0</v>
      </c>
      <c r="AK60" s="295">
        <f t="shared" si="26"/>
        <v>0</v>
      </c>
      <c r="AL60" s="295">
        <f t="shared" si="26"/>
        <v>0</v>
      </c>
      <c r="AM60" s="295">
        <f t="shared" si="26"/>
        <v>0</v>
      </c>
      <c r="AN60" s="295">
        <f t="shared" si="26"/>
        <v>0</v>
      </c>
      <c r="AO60" s="295">
        <f t="shared" si="26"/>
        <v>0</v>
      </c>
      <c r="AP60" s="295">
        <f t="shared" si="26"/>
        <v>0</v>
      </c>
      <c r="AQ60" s="295">
        <f t="shared" si="26"/>
        <v>0</v>
      </c>
      <c r="AR60" s="295">
        <f t="shared" si="26"/>
        <v>0</v>
      </c>
      <c r="AS60" s="295">
        <f t="shared" si="26"/>
        <v>0</v>
      </c>
      <c r="AT60" s="295">
        <f t="shared" si="26"/>
        <v>0</v>
      </c>
      <c r="AU60" s="295">
        <f t="shared" si="26"/>
        <v>0</v>
      </c>
      <c r="AV60" s="295">
        <f t="shared" si="26"/>
        <v>0</v>
      </c>
      <c r="AW60" s="295">
        <f t="shared" si="26"/>
        <v>0</v>
      </c>
      <c r="AX60" s="295">
        <f t="shared" si="26"/>
        <v>0</v>
      </c>
      <c r="AY60" s="295">
        <f t="shared" si="26"/>
        <v>0</v>
      </c>
      <c r="AZ60" s="295">
        <f t="shared" si="26"/>
        <v>0</v>
      </c>
      <c r="BA60" s="295">
        <f t="shared" si="26"/>
        <v>0</v>
      </c>
      <c r="BB60" s="295">
        <f t="shared" si="26"/>
        <v>0</v>
      </c>
      <c r="BC60" s="295">
        <f t="shared" si="26"/>
        <v>0</v>
      </c>
      <c r="BD60" s="295">
        <f t="shared" si="26"/>
        <v>0</v>
      </c>
    </row>
    <row r="61" spans="1:56" s="151" customFormat="1" outlineLevel="1" x14ac:dyDescent="0.25">
      <c r="A61" s="151" t="s">
        <v>462</v>
      </c>
      <c r="B61" s="295">
        <f t="shared" ref="B61:AG61" si="27">IFERROR(B60*$J$27,"0")</f>
        <v>0</v>
      </c>
      <c r="C61" s="295">
        <f t="shared" si="27"/>
        <v>0</v>
      </c>
      <c r="D61" s="295">
        <f t="shared" si="27"/>
        <v>0</v>
      </c>
      <c r="E61" s="295">
        <f t="shared" si="27"/>
        <v>0</v>
      </c>
      <c r="F61" s="295">
        <f t="shared" si="27"/>
        <v>0</v>
      </c>
      <c r="G61" s="295">
        <f t="shared" si="27"/>
        <v>0</v>
      </c>
      <c r="H61" s="295">
        <f t="shared" si="27"/>
        <v>0</v>
      </c>
      <c r="I61" s="295">
        <f t="shared" si="27"/>
        <v>0</v>
      </c>
      <c r="J61" s="295">
        <f t="shared" si="27"/>
        <v>0</v>
      </c>
      <c r="K61" s="295">
        <f t="shared" si="27"/>
        <v>0</v>
      </c>
      <c r="L61" s="295">
        <f t="shared" si="27"/>
        <v>0</v>
      </c>
      <c r="M61" s="295">
        <f t="shared" si="27"/>
        <v>0</v>
      </c>
      <c r="N61" s="295">
        <f t="shared" si="27"/>
        <v>0</v>
      </c>
      <c r="O61" s="295">
        <f t="shared" si="27"/>
        <v>0</v>
      </c>
      <c r="P61" s="295">
        <f t="shared" si="27"/>
        <v>0</v>
      </c>
      <c r="Q61" s="295">
        <f t="shared" si="27"/>
        <v>0</v>
      </c>
      <c r="R61" s="295">
        <f t="shared" si="27"/>
        <v>0</v>
      </c>
      <c r="S61" s="295">
        <f t="shared" si="27"/>
        <v>0</v>
      </c>
      <c r="T61" s="295">
        <f t="shared" si="27"/>
        <v>0</v>
      </c>
      <c r="U61" s="295">
        <f t="shared" si="27"/>
        <v>0</v>
      </c>
      <c r="V61" s="295">
        <f t="shared" si="27"/>
        <v>0</v>
      </c>
      <c r="W61" s="295">
        <f t="shared" si="27"/>
        <v>0</v>
      </c>
      <c r="X61" s="295">
        <f t="shared" si="27"/>
        <v>0</v>
      </c>
      <c r="Y61" s="295">
        <f t="shared" si="27"/>
        <v>0</v>
      </c>
      <c r="Z61" s="295">
        <f t="shared" si="27"/>
        <v>0</v>
      </c>
      <c r="AA61" s="295">
        <f t="shared" si="27"/>
        <v>0</v>
      </c>
      <c r="AB61" s="295">
        <f t="shared" si="27"/>
        <v>0</v>
      </c>
      <c r="AC61" s="295">
        <f t="shared" si="27"/>
        <v>0</v>
      </c>
      <c r="AD61" s="295">
        <f t="shared" si="27"/>
        <v>0</v>
      </c>
      <c r="AE61" s="295">
        <f t="shared" si="27"/>
        <v>0</v>
      </c>
      <c r="AF61" s="295">
        <f t="shared" si="27"/>
        <v>0</v>
      </c>
      <c r="AG61" s="295">
        <f t="shared" si="27"/>
        <v>0</v>
      </c>
      <c r="AH61" s="295">
        <f t="shared" ref="AH61:BD61" si="28">IFERROR(AH60*$J$27,"0")</f>
        <v>0</v>
      </c>
      <c r="AI61" s="295">
        <f t="shared" si="28"/>
        <v>0</v>
      </c>
      <c r="AJ61" s="295">
        <f t="shared" si="28"/>
        <v>0</v>
      </c>
      <c r="AK61" s="295">
        <f t="shared" si="28"/>
        <v>0</v>
      </c>
      <c r="AL61" s="295">
        <f t="shared" si="28"/>
        <v>0</v>
      </c>
      <c r="AM61" s="295">
        <f t="shared" si="28"/>
        <v>0</v>
      </c>
      <c r="AN61" s="295">
        <f t="shared" si="28"/>
        <v>0</v>
      </c>
      <c r="AO61" s="295">
        <f t="shared" si="28"/>
        <v>0</v>
      </c>
      <c r="AP61" s="295">
        <f t="shared" si="28"/>
        <v>0</v>
      </c>
      <c r="AQ61" s="295">
        <f t="shared" si="28"/>
        <v>0</v>
      </c>
      <c r="AR61" s="295">
        <f t="shared" si="28"/>
        <v>0</v>
      </c>
      <c r="AS61" s="295">
        <f t="shared" si="28"/>
        <v>0</v>
      </c>
      <c r="AT61" s="295">
        <f t="shared" si="28"/>
        <v>0</v>
      </c>
      <c r="AU61" s="295">
        <f t="shared" si="28"/>
        <v>0</v>
      </c>
      <c r="AV61" s="295">
        <f t="shared" si="28"/>
        <v>0</v>
      </c>
      <c r="AW61" s="295">
        <f t="shared" si="28"/>
        <v>0</v>
      </c>
      <c r="AX61" s="295">
        <f t="shared" si="28"/>
        <v>0</v>
      </c>
      <c r="AY61" s="295">
        <f t="shared" si="28"/>
        <v>0</v>
      </c>
      <c r="AZ61" s="295">
        <f t="shared" si="28"/>
        <v>0</v>
      </c>
      <c r="BA61" s="295">
        <f t="shared" si="28"/>
        <v>0</v>
      </c>
      <c r="BB61" s="295">
        <f t="shared" si="28"/>
        <v>0</v>
      </c>
      <c r="BC61" s="295">
        <f t="shared" si="28"/>
        <v>0</v>
      </c>
      <c r="BD61" s="295">
        <f t="shared" si="28"/>
        <v>0</v>
      </c>
    </row>
    <row r="62" spans="1:56" s="151" customFormat="1" outlineLevel="1" x14ac:dyDescent="0.25">
      <c r="A62" s="151" t="s">
        <v>458</v>
      </c>
      <c r="B62" s="294">
        <f>IFERROR(B61*$C$28,"0")</f>
        <v>0</v>
      </c>
      <c r="C62" s="294">
        <f t="shared" ref="C62:BD62" si="29">IFERROR(C61*$C$28,"0")</f>
        <v>0</v>
      </c>
      <c r="D62" s="294">
        <f t="shared" si="29"/>
        <v>0</v>
      </c>
      <c r="E62" s="294">
        <f t="shared" si="29"/>
        <v>0</v>
      </c>
      <c r="F62" s="294">
        <f t="shared" si="29"/>
        <v>0</v>
      </c>
      <c r="G62" s="294">
        <f t="shared" si="29"/>
        <v>0</v>
      </c>
      <c r="H62" s="294">
        <f t="shared" si="29"/>
        <v>0</v>
      </c>
      <c r="I62" s="294">
        <f t="shared" si="29"/>
        <v>0</v>
      </c>
      <c r="J62" s="294">
        <f t="shared" si="29"/>
        <v>0</v>
      </c>
      <c r="K62" s="294">
        <f t="shared" si="29"/>
        <v>0</v>
      </c>
      <c r="L62" s="294">
        <f t="shared" si="29"/>
        <v>0</v>
      </c>
      <c r="M62" s="294">
        <f t="shared" si="29"/>
        <v>0</v>
      </c>
      <c r="N62" s="294">
        <f t="shared" si="29"/>
        <v>0</v>
      </c>
      <c r="O62" s="294">
        <f t="shared" si="29"/>
        <v>0</v>
      </c>
      <c r="P62" s="294">
        <f t="shared" si="29"/>
        <v>0</v>
      </c>
      <c r="Q62" s="294">
        <f t="shared" si="29"/>
        <v>0</v>
      </c>
      <c r="R62" s="294">
        <f t="shared" si="29"/>
        <v>0</v>
      </c>
      <c r="S62" s="294">
        <f t="shared" si="29"/>
        <v>0</v>
      </c>
      <c r="T62" s="294">
        <f t="shared" si="29"/>
        <v>0</v>
      </c>
      <c r="U62" s="294">
        <f t="shared" si="29"/>
        <v>0</v>
      </c>
      <c r="V62" s="294">
        <f t="shared" si="29"/>
        <v>0</v>
      </c>
      <c r="W62" s="294">
        <f t="shared" si="29"/>
        <v>0</v>
      </c>
      <c r="X62" s="294">
        <f t="shared" si="29"/>
        <v>0</v>
      </c>
      <c r="Y62" s="294">
        <f t="shared" si="29"/>
        <v>0</v>
      </c>
      <c r="Z62" s="294">
        <f t="shared" si="29"/>
        <v>0</v>
      </c>
      <c r="AA62" s="294">
        <f t="shared" si="29"/>
        <v>0</v>
      </c>
      <c r="AB62" s="294">
        <f t="shared" si="29"/>
        <v>0</v>
      </c>
      <c r="AC62" s="294">
        <f t="shared" si="29"/>
        <v>0</v>
      </c>
      <c r="AD62" s="294">
        <f t="shared" si="29"/>
        <v>0</v>
      </c>
      <c r="AE62" s="294">
        <f t="shared" si="29"/>
        <v>0</v>
      </c>
      <c r="AF62" s="294">
        <f t="shared" si="29"/>
        <v>0</v>
      </c>
      <c r="AG62" s="294">
        <f t="shared" si="29"/>
        <v>0</v>
      </c>
      <c r="AH62" s="294">
        <f t="shared" si="29"/>
        <v>0</v>
      </c>
      <c r="AI62" s="294">
        <f t="shared" si="29"/>
        <v>0</v>
      </c>
      <c r="AJ62" s="294">
        <f t="shared" si="29"/>
        <v>0</v>
      </c>
      <c r="AK62" s="294">
        <f t="shared" si="29"/>
        <v>0</v>
      </c>
      <c r="AL62" s="294">
        <f t="shared" si="29"/>
        <v>0</v>
      </c>
      <c r="AM62" s="294">
        <f t="shared" si="29"/>
        <v>0</v>
      </c>
      <c r="AN62" s="294">
        <f t="shared" si="29"/>
        <v>0</v>
      </c>
      <c r="AO62" s="294">
        <f t="shared" si="29"/>
        <v>0</v>
      </c>
      <c r="AP62" s="294">
        <f t="shared" si="29"/>
        <v>0</v>
      </c>
      <c r="AQ62" s="294">
        <f t="shared" si="29"/>
        <v>0</v>
      </c>
      <c r="AR62" s="294">
        <f t="shared" si="29"/>
        <v>0</v>
      </c>
      <c r="AS62" s="294">
        <f t="shared" si="29"/>
        <v>0</v>
      </c>
      <c r="AT62" s="294">
        <f t="shared" si="29"/>
        <v>0</v>
      </c>
      <c r="AU62" s="294">
        <f t="shared" si="29"/>
        <v>0</v>
      </c>
      <c r="AV62" s="294">
        <f t="shared" si="29"/>
        <v>0</v>
      </c>
      <c r="AW62" s="294">
        <f t="shared" si="29"/>
        <v>0</v>
      </c>
      <c r="AX62" s="294">
        <f t="shared" si="29"/>
        <v>0</v>
      </c>
      <c r="AY62" s="294">
        <f t="shared" si="29"/>
        <v>0</v>
      </c>
      <c r="AZ62" s="294">
        <f t="shared" si="29"/>
        <v>0</v>
      </c>
      <c r="BA62" s="294">
        <f t="shared" si="29"/>
        <v>0</v>
      </c>
      <c r="BB62" s="294">
        <f t="shared" si="29"/>
        <v>0</v>
      </c>
      <c r="BC62" s="294">
        <f t="shared" si="29"/>
        <v>0</v>
      </c>
      <c r="BD62" s="294">
        <f t="shared" si="29"/>
        <v>0</v>
      </c>
    </row>
    <row r="63" spans="1:56" s="151" customFormat="1" x14ac:dyDescent="0.25">
      <c r="A63" s="218" t="s">
        <v>465</v>
      </c>
      <c r="B63" s="223">
        <f>IFERROR(B62*$C$35,"0")</f>
        <v>0</v>
      </c>
      <c r="C63" s="223">
        <f t="shared" ref="C63:AH63" si="30">IFERROR(IF(C62&gt;B62,C62*$C$35,B63*(1+$C$37)),"0")</f>
        <v>0</v>
      </c>
      <c r="D63" s="223">
        <f t="shared" si="30"/>
        <v>0</v>
      </c>
      <c r="E63" s="223">
        <f t="shared" si="30"/>
        <v>0</v>
      </c>
      <c r="F63" s="223">
        <f t="shared" si="30"/>
        <v>0</v>
      </c>
      <c r="G63" s="223">
        <f t="shared" si="30"/>
        <v>0</v>
      </c>
      <c r="H63" s="223">
        <f t="shared" si="30"/>
        <v>0</v>
      </c>
      <c r="I63" s="223">
        <f t="shared" si="30"/>
        <v>0</v>
      </c>
      <c r="J63" s="223">
        <f t="shared" si="30"/>
        <v>0</v>
      </c>
      <c r="K63" s="223">
        <f t="shared" si="30"/>
        <v>0</v>
      </c>
      <c r="L63" s="223">
        <f t="shared" si="30"/>
        <v>0</v>
      </c>
      <c r="M63" s="223">
        <f t="shared" si="30"/>
        <v>0</v>
      </c>
      <c r="N63" s="223">
        <f t="shared" si="30"/>
        <v>0</v>
      </c>
      <c r="O63" s="223">
        <f t="shared" si="30"/>
        <v>0</v>
      </c>
      <c r="P63" s="223">
        <f t="shared" si="30"/>
        <v>0</v>
      </c>
      <c r="Q63" s="223">
        <f t="shared" si="30"/>
        <v>0</v>
      </c>
      <c r="R63" s="223">
        <f t="shared" si="30"/>
        <v>0</v>
      </c>
      <c r="S63" s="223">
        <f t="shared" si="30"/>
        <v>0</v>
      </c>
      <c r="T63" s="223">
        <f t="shared" si="30"/>
        <v>0</v>
      </c>
      <c r="U63" s="223">
        <f t="shared" si="30"/>
        <v>0</v>
      </c>
      <c r="V63" s="223">
        <f t="shared" si="30"/>
        <v>0</v>
      </c>
      <c r="W63" s="223">
        <f t="shared" si="30"/>
        <v>0</v>
      </c>
      <c r="X63" s="223">
        <f t="shared" si="30"/>
        <v>0</v>
      </c>
      <c r="Y63" s="223">
        <f t="shared" si="30"/>
        <v>0</v>
      </c>
      <c r="Z63" s="223">
        <f t="shared" si="30"/>
        <v>0</v>
      </c>
      <c r="AA63" s="223">
        <f t="shared" si="30"/>
        <v>0</v>
      </c>
      <c r="AB63" s="223">
        <f t="shared" si="30"/>
        <v>0</v>
      </c>
      <c r="AC63" s="223">
        <f t="shared" si="30"/>
        <v>0</v>
      </c>
      <c r="AD63" s="223">
        <f t="shared" si="30"/>
        <v>0</v>
      </c>
      <c r="AE63" s="223">
        <f t="shared" si="30"/>
        <v>0</v>
      </c>
      <c r="AF63" s="223">
        <f t="shared" si="30"/>
        <v>0</v>
      </c>
      <c r="AG63" s="223">
        <f t="shared" si="30"/>
        <v>0</v>
      </c>
      <c r="AH63" s="223">
        <f t="shared" si="30"/>
        <v>0</v>
      </c>
      <c r="AI63" s="223">
        <f t="shared" ref="AI63:BD63" si="31">IFERROR(IF(AI62&gt;AH62,AI62*$C$35,AH63*(1+$C$37)),"0")</f>
        <v>0</v>
      </c>
      <c r="AJ63" s="223">
        <f t="shared" si="31"/>
        <v>0</v>
      </c>
      <c r="AK63" s="223">
        <f t="shared" si="31"/>
        <v>0</v>
      </c>
      <c r="AL63" s="223">
        <f t="shared" si="31"/>
        <v>0</v>
      </c>
      <c r="AM63" s="223">
        <f t="shared" si="31"/>
        <v>0</v>
      </c>
      <c r="AN63" s="223">
        <f t="shared" si="31"/>
        <v>0</v>
      </c>
      <c r="AO63" s="223">
        <f t="shared" si="31"/>
        <v>0</v>
      </c>
      <c r="AP63" s="223">
        <f t="shared" si="31"/>
        <v>0</v>
      </c>
      <c r="AQ63" s="223">
        <f t="shared" si="31"/>
        <v>0</v>
      </c>
      <c r="AR63" s="223">
        <f t="shared" si="31"/>
        <v>0</v>
      </c>
      <c r="AS63" s="223">
        <f t="shared" si="31"/>
        <v>0</v>
      </c>
      <c r="AT63" s="223">
        <f t="shared" si="31"/>
        <v>0</v>
      </c>
      <c r="AU63" s="223">
        <f t="shared" si="31"/>
        <v>0</v>
      </c>
      <c r="AV63" s="223">
        <f t="shared" si="31"/>
        <v>0</v>
      </c>
      <c r="AW63" s="223">
        <f t="shared" si="31"/>
        <v>0</v>
      </c>
      <c r="AX63" s="223">
        <f t="shared" si="31"/>
        <v>0</v>
      </c>
      <c r="AY63" s="223">
        <f t="shared" si="31"/>
        <v>0</v>
      </c>
      <c r="AZ63" s="223">
        <f t="shared" si="31"/>
        <v>0</v>
      </c>
      <c r="BA63" s="223">
        <f t="shared" si="31"/>
        <v>0</v>
      </c>
      <c r="BB63" s="223">
        <f t="shared" si="31"/>
        <v>0</v>
      </c>
      <c r="BC63" s="223">
        <f t="shared" si="31"/>
        <v>0</v>
      </c>
      <c r="BD63" s="223">
        <f t="shared" si="31"/>
        <v>0</v>
      </c>
    </row>
    <row r="64" spans="1:56" s="151" customFormat="1" x14ac:dyDescent="0.25">
      <c r="A64" s="220"/>
      <c r="B64" s="293"/>
      <c r="C64" s="293"/>
      <c r="D64" s="293"/>
      <c r="E64" s="293"/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3"/>
      <c r="AK64" s="293"/>
      <c r="AL64" s="293"/>
      <c r="AM64" s="293"/>
      <c r="AN64" s="293"/>
      <c r="AO64" s="293"/>
      <c r="AP64" s="293"/>
      <c r="AQ64" s="293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</row>
    <row r="65" spans="1:56" s="151" customFormat="1" x14ac:dyDescent="0.25">
      <c r="A65" s="23" t="s">
        <v>54</v>
      </c>
      <c r="B65" s="24">
        <f t="shared" ref="B65:AG65" si="32">B47</f>
        <v>44593</v>
      </c>
      <c r="C65" s="24">
        <f t="shared" si="32"/>
        <v>44624</v>
      </c>
      <c r="D65" s="24">
        <f t="shared" si="32"/>
        <v>44655</v>
      </c>
      <c r="E65" s="24">
        <f t="shared" si="32"/>
        <v>44686</v>
      </c>
      <c r="F65" s="24">
        <f t="shared" si="32"/>
        <v>44717</v>
      </c>
      <c r="G65" s="24">
        <f t="shared" si="32"/>
        <v>44748</v>
      </c>
      <c r="H65" s="24">
        <f t="shared" si="32"/>
        <v>44779</v>
      </c>
      <c r="I65" s="24">
        <f t="shared" si="32"/>
        <v>44810</v>
      </c>
      <c r="J65" s="24">
        <f t="shared" si="32"/>
        <v>44841</v>
      </c>
      <c r="K65" s="24">
        <f t="shared" si="32"/>
        <v>44872</v>
      </c>
      <c r="L65" s="24">
        <f t="shared" si="32"/>
        <v>44903</v>
      </c>
      <c r="M65" s="24">
        <f t="shared" si="32"/>
        <v>44934</v>
      </c>
      <c r="N65" s="24">
        <f t="shared" si="32"/>
        <v>44965</v>
      </c>
      <c r="O65" s="24">
        <f t="shared" si="32"/>
        <v>44996</v>
      </c>
      <c r="P65" s="24">
        <f t="shared" si="32"/>
        <v>45027</v>
      </c>
      <c r="Q65" s="24">
        <f t="shared" si="32"/>
        <v>45058</v>
      </c>
      <c r="R65" s="24">
        <f t="shared" si="32"/>
        <v>45089</v>
      </c>
      <c r="S65" s="24">
        <f t="shared" si="32"/>
        <v>45120</v>
      </c>
      <c r="T65" s="24">
        <f t="shared" si="32"/>
        <v>45151</v>
      </c>
      <c r="U65" s="24">
        <f t="shared" si="32"/>
        <v>45182</v>
      </c>
      <c r="V65" s="24">
        <f t="shared" si="32"/>
        <v>45213</v>
      </c>
      <c r="W65" s="24">
        <f t="shared" si="32"/>
        <v>45244</v>
      </c>
      <c r="X65" s="24">
        <f t="shared" si="32"/>
        <v>45275</v>
      </c>
      <c r="Y65" s="24">
        <f t="shared" si="32"/>
        <v>45306</v>
      </c>
      <c r="Z65" s="24">
        <f t="shared" si="32"/>
        <v>45337</v>
      </c>
      <c r="AA65" s="24">
        <f t="shared" si="32"/>
        <v>45368</v>
      </c>
      <c r="AB65" s="24">
        <f t="shared" si="32"/>
        <v>45399</v>
      </c>
      <c r="AC65" s="24">
        <f t="shared" si="32"/>
        <v>45430</v>
      </c>
      <c r="AD65" s="24">
        <f t="shared" si="32"/>
        <v>45461</v>
      </c>
      <c r="AE65" s="24">
        <f t="shared" si="32"/>
        <v>45492</v>
      </c>
      <c r="AF65" s="24">
        <f t="shared" si="32"/>
        <v>45523</v>
      </c>
      <c r="AG65" s="24">
        <f t="shared" si="32"/>
        <v>45554</v>
      </c>
      <c r="AH65" s="24">
        <f t="shared" ref="AH65:BD65" si="33">AH47</f>
        <v>45585</v>
      </c>
      <c r="AI65" s="24">
        <f t="shared" si="33"/>
        <v>45616</v>
      </c>
      <c r="AJ65" s="24">
        <f t="shared" si="33"/>
        <v>45647</v>
      </c>
      <c r="AK65" s="24">
        <f t="shared" si="33"/>
        <v>45678</v>
      </c>
      <c r="AL65" s="24">
        <f t="shared" si="33"/>
        <v>45709</v>
      </c>
      <c r="AM65" s="24">
        <f t="shared" si="33"/>
        <v>45740</v>
      </c>
      <c r="AN65" s="24">
        <f t="shared" si="33"/>
        <v>45771</v>
      </c>
      <c r="AO65" s="24">
        <f t="shared" si="33"/>
        <v>45802</v>
      </c>
      <c r="AP65" s="24">
        <f t="shared" si="33"/>
        <v>45833</v>
      </c>
      <c r="AQ65" s="24">
        <f t="shared" si="33"/>
        <v>45864</v>
      </c>
      <c r="AR65" s="24">
        <f t="shared" si="33"/>
        <v>45895</v>
      </c>
      <c r="AS65" s="24">
        <f t="shared" si="33"/>
        <v>45926</v>
      </c>
      <c r="AT65" s="24">
        <f t="shared" si="33"/>
        <v>45957</v>
      </c>
      <c r="AU65" s="24">
        <f t="shared" si="33"/>
        <v>45988</v>
      </c>
      <c r="AV65" s="24">
        <f t="shared" si="33"/>
        <v>46019</v>
      </c>
      <c r="AW65" s="24">
        <f t="shared" si="33"/>
        <v>46050</v>
      </c>
      <c r="AX65" s="24">
        <f t="shared" si="33"/>
        <v>46081</v>
      </c>
      <c r="AY65" s="24">
        <f t="shared" si="33"/>
        <v>46112</v>
      </c>
      <c r="AZ65" s="24">
        <f t="shared" si="33"/>
        <v>46143</v>
      </c>
      <c r="BA65" s="24">
        <f t="shared" si="33"/>
        <v>46174</v>
      </c>
      <c r="BB65" s="24">
        <f t="shared" si="33"/>
        <v>46205</v>
      </c>
      <c r="BC65" s="24">
        <f t="shared" si="33"/>
        <v>46236</v>
      </c>
      <c r="BD65" s="24">
        <f t="shared" si="33"/>
        <v>46267</v>
      </c>
    </row>
    <row r="66" spans="1:56" s="151" customFormat="1" x14ac:dyDescent="0.25">
      <c r="A66" s="18" t="s">
        <v>470</v>
      </c>
      <c r="B66" s="173">
        <f>IFERROR(B61+B55+B49,"0")</f>
        <v>0</v>
      </c>
      <c r="C66" s="173">
        <f t="shared" ref="C66:BD66" si="34">IFERROR(C61+C55+C49,"0")</f>
        <v>0</v>
      </c>
      <c r="D66" s="173">
        <f t="shared" si="34"/>
        <v>0</v>
      </c>
      <c r="E66" s="173">
        <f t="shared" si="34"/>
        <v>0</v>
      </c>
      <c r="F66" s="173">
        <f t="shared" si="34"/>
        <v>0</v>
      </c>
      <c r="G66" s="173">
        <f t="shared" si="34"/>
        <v>0</v>
      </c>
      <c r="H66" s="173">
        <f t="shared" si="34"/>
        <v>0</v>
      </c>
      <c r="I66" s="173">
        <f t="shared" si="34"/>
        <v>67.571903803066121</v>
      </c>
      <c r="J66" s="173">
        <f t="shared" si="34"/>
        <v>72.207675041559469</v>
      </c>
      <c r="K66" s="173">
        <f t="shared" si="34"/>
        <v>76.885556568231905</v>
      </c>
      <c r="L66" s="173">
        <f t="shared" si="34"/>
        <v>81.608748881136009</v>
      </c>
      <c r="M66" s="173">
        <f t="shared" si="34"/>
        <v>88.468682819791582</v>
      </c>
      <c r="N66" s="173">
        <f t="shared" si="34"/>
        <v>95.392227593361383</v>
      </c>
      <c r="O66" s="173">
        <f t="shared" si="34"/>
        <v>102.3842507593212</v>
      </c>
      <c r="P66" s="173">
        <f t="shared" si="34"/>
        <v>109.45035000876814</v>
      </c>
      <c r="Q66" s="173">
        <f t="shared" si="34"/>
        <v>116.59696268646385</v>
      </c>
      <c r="R66" s="173">
        <f t="shared" si="34"/>
        <v>123.83149173888415</v>
      </c>
      <c r="S66" s="173">
        <f t="shared" si="34"/>
        <v>131.16245055447658</v>
      </c>
      <c r="T66" s="173">
        <f t="shared" si="34"/>
        <v>138.59962952995534</v>
      </c>
      <c r="U66" s="173">
        <f t="shared" si="34"/>
        <v>146.15428762154201</v>
      </c>
      <c r="V66" s="173">
        <f t="shared" si="34"/>
        <v>153.83937262889137</v>
      </c>
      <c r="W66" s="173">
        <f t="shared" si="34"/>
        <v>161.66977452160651</v>
      </c>
      <c r="X66" s="173">
        <f t="shared" si="34"/>
        <v>169.66261676473081</v>
      </c>
      <c r="Y66" s="173">
        <f t="shared" si="34"/>
        <v>179.0902415031199</v>
      </c>
      <c r="Z66" s="173">
        <f t="shared" si="34"/>
        <v>188.72887644958664</v>
      </c>
      <c r="AA66" s="173">
        <f t="shared" si="34"/>
        <v>198.60456425402899</v>
      </c>
      <c r="AB66" s="173">
        <f t="shared" si="34"/>
        <v>208.74763293685513</v>
      </c>
      <c r="AC66" s="173">
        <f t="shared" si="34"/>
        <v>219.19220366092142</v>
      </c>
      <c r="AD66" s="173">
        <f t="shared" si="34"/>
        <v>229.97789285110008</v>
      </c>
      <c r="AE66" s="173">
        <f t="shared" si="34"/>
        <v>241.15025939599448</v>
      </c>
      <c r="AF66" s="173">
        <f t="shared" si="34"/>
        <v>252.76169601749817</v>
      </c>
      <c r="AG66" s="173">
        <f t="shared" si="34"/>
        <v>264.87245434578892</v>
      </c>
      <c r="AH66" s="173">
        <f t="shared" si="34"/>
        <v>277.55182375557098</v>
      </c>
      <c r="AI66" s="173">
        <f t="shared" si="34"/>
        <v>290.87948702775458</v>
      </c>
      <c r="AJ66" s="173">
        <f t="shared" si="34"/>
        <v>304.94707936038606</v>
      </c>
      <c r="AK66" s="173">
        <f t="shared" si="34"/>
        <v>304.94707936038606</v>
      </c>
      <c r="AL66" s="173">
        <f t="shared" si="34"/>
        <v>304.94707936038606</v>
      </c>
      <c r="AM66" s="173">
        <f t="shared" si="34"/>
        <v>304.94707936038606</v>
      </c>
      <c r="AN66" s="173">
        <f t="shared" si="34"/>
        <v>304.94707936038606</v>
      </c>
      <c r="AO66" s="173">
        <f t="shared" si="34"/>
        <v>304.94707936038606</v>
      </c>
      <c r="AP66" s="173">
        <f t="shared" si="34"/>
        <v>304.94707936038606</v>
      </c>
      <c r="AQ66" s="173">
        <f t="shared" si="34"/>
        <v>304.94707936038606</v>
      </c>
      <c r="AR66" s="173">
        <f t="shared" si="34"/>
        <v>304.94707936038606</v>
      </c>
      <c r="AS66" s="173">
        <f t="shared" si="34"/>
        <v>304.94707936038606</v>
      </c>
      <c r="AT66" s="173">
        <f t="shared" si="34"/>
        <v>304.94707936038606</v>
      </c>
      <c r="AU66" s="173">
        <f t="shared" si="34"/>
        <v>304.94707936038606</v>
      </c>
      <c r="AV66" s="173">
        <f t="shared" si="34"/>
        <v>304.94707936038606</v>
      </c>
      <c r="AW66" s="173">
        <f t="shared" si="34"/>
        <v>304.94707936038606</v>
      </c>
      <c r="AX66" s="173">
        <f t="shared" si="34"/>
        <v>304.94707936038606</v>
      </c>
      <c r="AY66" s="173">
        <f t="shared" si="34"/>
        <v>304.94707936038606</v>
      </c>
      <c r="AZ66" s="173">
        <f t="shared" si="34"/>
        <v>304.94707936038606</v>
      </c>
      <c r="BA66" s="173">
        <f t="shared" si="34"/>
        <v>304.94707936038606</v>
      </c>
      <c r="BB66" s="173">
        <f t="shared" si="34"/>
        <v>304.94707936038606</v>
      </c>
      <c r="BC66" s="173">
        <f t="shared" si="34"/>
        <v>304.94707936038606</v>
      </c>
      <c r="BD66" s="173">
        <f t="shared" si="34"/>
        <v>304.94707936038606</v>
      </c>
    </row>
    <row r="67" spans="1:56" s="151" customFormat="1" x14ac:dyDescent="0.25">
      <c r="A67" s="18" t="s">
        <v>464</v>
      </c>
      <c r="B67" s="155">
        <f>IFERROR(B63+B57+B51,"0")</f>
        <v>0</v>
      </c>
      <c r="C67" s="155">
        <f t="shared" ref="C67:BD67" si="35">IFERROR(C63+C57+C51,"0")</f>
        <v>0</v>
      </c>
      <c r="D67" s="155">
        <f t="shared" si="35"/>
        <v>0</v>
      </c>
      <c r="E67" s="155">
        <f t="shared" si="35"/>
        <v>0</v>
      </c>
      <c r="F67" s="155">
        <f t="shared" si="35"/>
        <v>0</v>
      </c>
      <c r="G67" s="155">
        <f t="shared" si="35"/>
        <v>0</v>
      </c>
      <c r="H67" s="155">
        <f t="shared" si="35"/>
        <v>0</v>
      </c>
      <c r="I67" s="155">
        <f t="shared" si="35"/>
        <v>92961.346948005157</v>
      </c>
      <c r="J67" s="155">
        <f t="shared" si="35"/>
        <v>99338.961225814055</v>
      </c>
      <c r="K67" s="155">
        <f t="shared" si="35"/>
        <v>105774.50829653205</v>
      </c>
      <c r="L67" s="155">
        <f t="shared" si="35"/>
        <v>112272.39121221373</v>
      </c>
      <c r="M67" s="155">
        <f t="shared" si="35"/>
        <v>121709.87429350024</v>
      </c>
      <c r="N67" s="155">
        <f t="shared" si="35"/>
        <v>131234.86932222793</v>
      </c>
      <c r="O67" s="155">
        <f t="shared" si="35"/>
        <v>140854.0727901904</v>
      </c>
      <c r="P67" s="155">
        <f t="shared" si="35"/>
        <v>150575.18566295024</v>
      </c>
      <c r="Q67" s="155">
        <f t="shared" si="35"/>
        <v>160407.06405090442</v>
      </c>
      <c r="R67" s="155">
        <f t="shared" si="35"/>
        <v>170359.89248100927</v>
      </c>
      <c r="S67" s="155">
        <f t="shared" si="35"/>
        <v>180445.3831592651</v>
      </c>
      <c r="T67" s="155">
        <f t="shared" si="35"/>
        <v>190677.00512257166</v>
      </c>
      <c r="U67" s="155">
        <f t="shared" si="35"/>
        <v>201070.24776336396</v>
      </c>
      <c r="V67" s="155">
        <f t="shared" si="35"/>
        <v>211642.92388294227</v>
      </c>
      <c r="W67" s="155">
        <f t="shared" si="35"/>
        <v>222415.51820280185</v>
      </c>
      <c r="X67" s="155">
        <f t="shared" si="35"/>
        <v>233411.58815266221</v>
      </c>
      <c r="Y67" s="155">
        <f t="shared" si="35"/>
        <v>246381.54526316791</v>
      </c>
      <c r="Z67" s="155">
        <f t="shared" si="35"/>
        <v>259641.79748241947</v>
      </c>
      <c r="AA67" s="155">
        <f t="shared" si="35"/>
        <v>273228.17271634162</v>
      </c>
      <c r="AB67" s="155">
        <f t="shared" si="35"/>
        <v>287182.39442496339</v>
      </c>
      <c r="AC67" s="155">
        <f t="shared" si="35"/>
        <v>301551.40444475872</v>
      </c>
      <c r="AD67" s="155">
        <f t="shared" si="35"/>
        <v>316389.70466201636</v>
      </c>
      <c r="AE67" s="155">
        <f t="shared" si="35"/>
        <v>331759.9722459687</v>
      </c>
      <c r="AF67" s="155">
        <f t="shared" si="35"/>
        <v>347734.28594123269</v>
      </c>
      <c r="AG67" s="155">
        <f t="shared" si="35"/>
        <v>364395.53630411788</v>
      </c>
      <c r="AH67" s="155">
        <f t="shared" si="35"/>
        <v>381839.04747438023</v>
      </c>
      <c r="AI67" s="155">
        <f t="shared" si="35"/>
        <v>400174.44221273926</v>
      </c>
      <c r="AJ67" s="155">
        <f t="shared" si="35"/>
        <v>419527.78669402219</v>
      </c>
      <c r="AK67" s="155">
        <f t="shared" si="35"/>
        <v>427918.34242790262</v>
      </c>
      <c r="AL67" s="155">
        <f t="shared" si="35"/>
        <v>436476.70927646069</v>
      </c>
      <c r="AM67" s="155">
        <f t="shared" si="35"/>
        <v>445206.24346198991</v>
      </c>
      <c r="AN67" s="155">
        <f t="shared" si="35"/>
        <v>454110.36833122978</v>
      </c>
      <c r="AO67" s="155">
        <f t="shared" si="35"/>
        <v>463192.57569785439</v>
      </c>
      <c r="AP67" s="155">
        <f t="shared" si="35"/>
        <v>472456.42721181147</v>
      </c>
      <c r="AQ67" s="155">
        <f t="shared" si="35"/>
        <v>481905.55575604772</v>
      </c>
      <c r="AR67" s="155">
        <f t="shared" si="35"/>
        <v>491543.66687116865</v>
      </c>
      <c r="AS67" s="155">
        <f t="shared" si="35"/>
        <v>501374.54020859208</v>
      </c>
      <c r="AT67" s="155">
        <f t="shared" si="35"/>
        <v>511402.03101276391</v>
      </c>
      <c r="AU67" s="155">
        <f t="shared" si="35"/>
        <v>521630.07163301919</v>
      </c>
      <c r="AV67" s="155">
        <f t="shared" si="35"/>
        <v>532062.67306567961</v>
      </c>
      <c r="AW67" s="155">
        <f t="shared" si="35"/>
        <v>542703.92652699316</v>
      </c>
      <c r="AX67" s="155">
        <f t="shared" si="35"/>
        <v>553558.00505753304</v>
      </c>
      <c r="AY67" s="155">
        <f t="shared" si="35"/>
        <v>564629.16515868367</v>
      </c>
      <c r="AZ67" s="155">
        <f t="shared" si="35"/>
        <v>575921.74846185744</v>
      </c>
      <c r="BA67" s="155">
        <f t="shared" si="35"/>
        <v>587440.18343109451</v>
      </c>
      <c r="BB67" s="155">
        <f t="shared" si="35"/>
        <v>599188.98709971644</v>
      </c>
      <c r="BC67" s="155">
        <f t="shared" si="35"/>
        <v>611172.76684171078</v>
      </c>
      <c r="BD67" s="155">
        <f t="shared" si="35"/>
        <v>623396.22217854497</v>
      </c>
    </row>
    <row r="68" spans="1:56" s="151" customFormat="1" x14ac:dyDescent="0.25">
      <c r="A68" s="18" t="s">
        <v>471</v>
      </c>
      <c r="B68" s="297" t="str">
        <f>IFERROR(B67/B66,"0")</f>
        <v>0</v>
      </c>
      <c r="C68" s="297" t="str">
        <f t="shared" ref="C68:BD68" si="36">IFERROR(C67/C66,"0")</f>
        <v>0</v>
      </c>
      <c r="D68" s="297" t="str">
        <f t="shared" si="36"/>
        <v>0</v>
      </c>
      <c r="E68" s="297" t="str">
        <f t="shared" si="36"/>
        <v>0</v>
      </c>
      <c r="F68" s="297" t="str">
        <f t="shared" si="36"/>
        <v>0</v>
      </c>
      <c r="G68" s="297" t="str">
        <f t="shared" si="36"/>
        <v>0</v>
      </c>
      <c r="H68" s="297" t="str">
        <f t="shared" si="36"/>
        <v>0</v>
      </c>
      <c r="I68" s="297">
        <f t="shared" si="36"/>
        <v>1375.739644970414</v>
      </c>
      <c r="J68" s="297">
        <f t="shared" si="36"/>
        <v>1375.739644970414</v>
      </c>
      <c r="K68" s="297">
        <f t="shared" si="36"/>
        <v>1375.739644970414</v>
      </c>
      <c r="L68" s="297">
        <f t="shared" si="36"/>
        <v>1375.739644970414</v>
      </c>
      <c r="M68" s="297">
        <f t="shared" si="36"/>
        <v>1375.739644970414</v>
      </c>
      <c r="N68" s="297">
        <f t="shared" si="36"/>
        <v>1375.739644970414</v>
      </c>
      <c r="O68" s="297">
        <f t="shared" si="36"/>
        <v>1375.739644970414</v>
      </c>
      <c r="P68" s="297">
        <f t="shared" si="36"/>
        <v>1375.739644970414</v>
      </c>
      <c r="Q68" s="297">
        <f t="shared" si="36"/>
        <v>1375.7396449704142</v>
      </c>
      <c r="R68" s="297">
        <f t="shared" si="36"/>
        <v>1375.7396449704142</v>
      </c>
      <c r="S68" s="297">
        <f t="shared" si="36"/>
        <v>1375.739644970414</v>
      </c>
      <c r="T68" s="297">
        <f t="shared" si="36"/>
        <v>1375.739644970414</v>
      </c>
      <c r="U68" s="297">
        <f t="shared" si="36"/>
        <v>1375.7396449704138</v>
      </c>
      <c r="V68" s="297">
        <f t="shared" si="36"/>
        <v>1375.7396449704142</v>
      </c>
      <c r="W68" s="297">
        <f t="shared" si="36"/>
        <v>1375.739644970414</v>
      </c>
      <c r="X68" s="297">
        <f t="shared" si="36"/>
        <v>1375.7396449704142</v>
      </c>
      <c r="Y68" s="297">
        <f t="shared" si="36"/>
        <v>1375.7396449704142</v>
      </c>
      <c r="Z68" s="297">
        <f t="shared" si="36"/>
        <v>1375.739644970414</v>
      </c>
      <c r="AA68" s="297">
        <f t="shared" si="36"/>
        <v>1375.739644970414</v>
      </c>
      <c r="AB68" s="297">
        <f t="shared" si="36"/>
        <v>1375.739644970414</v>
      </c>
      <c r="AC68" s="297">
        <f t="shared" si="36"/>
        <v>1375.739644970414</v>
      </c>
      <c r="AD68" s="297">
        <f t="shared" si="36"/>
        <v>1375.739644970414</v>
      </c>
      <c r="AE68" s="297">
        <f t="shared" si="36"/>
        <v>1375.739644970414</v>
      </c>
      <c r="AF68" s="297">
        <f t="shared" si="36"/>
        <v>1375.7396449704142</v>
      </c>
      <c r="AG68" s="297">
        <f t="shared" si="36"/>
        <v>1375.739644970414</v>
      </c>
      <c r="AH68" s="297">
        <f t="shared" si="36"/>
        <v>1375.7396449704142</v>
      </c>
      <c r="AI68" s="297">
        <f t="shared" si="36"/>
        <v>1375.739644970414</v>
      </c>
      <c r="AJ68" s="297">
        <f t="shared" si="36"/>
        <v>1375.739644970414</v>
      </c>
      <c r="AK68" s="297">
        <f t="shared" si="36"/>
        <v>1403.2544378698224</v>
      </c>
      <c r="AL68" s="297">
        <f t="shared" si="36"/>
        <v>1431.3195266272187</v>
      </c>
      <c r="AM68" s="297">
        <f t="shared" si="36"/>
        <v>1459.9459171597632</v>
      </c>
      <c r="AN68" s="297">
        <f t="shared" si="36"/>
        <v>1489.1448355029586</v>
      </c>
      <c r="AO68" s="297">
        <f t="shared" si="36"/>
        <v>1518.9277322130179</v>
      </c>
      <c r="AP68" s="297">
        <f t="shared" si="36"/>
        <v>1549.3062868572783</v>
      </c>
      <c r="AQ68" s="297">
        <f t="shared" si="36"/>
        <v>1580.2924125944239</v>
      </c>
      <c r="AR68" s="297">
        <f t="shared" si="36"/>
        <v>1611.8982608463123</v>
      </c>
      <c r="AS68" s="297">
        <f t="shared" si="36"/>
        <v>1644.1362260632386</v>
      </c>
      <c r="AT68" s="297">
        <f t="shared" si="36"/>
        <v>1677.0189505845035</v>
      </c>
      <c r="AU68" s="297">
        <f t="shared" si="36"/>
        <v>1710.5593295961935</v>
      </c>
      <c r="AV68" s="297">
        <f t="shared" si="36"/>
        <v>1744.7705161881174</v>
      </c>
      <c r="AW68" s="297">
        <f t="shared" si="36"/>
        <v>1779.6659265118797</v>
      </c>
      <c r="AX68" s="297">
        <f t="shared" si="36"/>
        <v>1815.2592450421173</v>
      </c>
      <c r="AY68" s="297">
        <f t="shared" si="36"/>
        <v>1851.5644299429596</v>
      </c>
      <c r="AZ68" s="297">
        <f t="shared" si="36"/>
        <v>1888.595718541819</v>
      </c>
      <c r="BA68" s="297">
        <f t="shared" si="36"/>
        <v>1926.3676329126552</v>
      </c>
      <c r="BB68" s="297">
        <f t="shared" si="36"/>
        <v>1964.8949855709084</v>
      </c>
      <c r="BC68" s="297">
        <f t="shared" si="36"/>
        <v>2004.1928852823266</v>
      </c>
      <c r="BD68" s="297">
        <f t="shared" si="36"/>
        <v>2044.2767429879732</v>
      </c>
    </row>
    <row r="69" spans="1:56" s="151" customFormat="1" x14ac:dyDescent="0.25">
      <c r="A69" s="150" t="s">
        <v>411</v>
      </c>
      <c r="B69" s="161" t="e">
        <f t="shared" ref="B69:F69" si="37">(B67-A67)/B67</f>
        <v>#VALUE!</v>
      </c>
      <c r="C69" s="161" t="e">
        <f t="shared" si="37"/>
        <v>#DIV/0!</v>
      </c>
      <c r="D69" s="161" t="e">
        <f t="shared" si="37"/>
        <v>#DIV/0!</v>
      </c>
      <c r="E69" s="161" t="e">
        <f t="shared" si="37"/>
        <v>#DIV/0!</v>
      </c>
      <c r="F69" s="161" t="e">
        <f t="shared" si="37"/>
        <v>#DIV/0!</v>
      </c>
      <c r="G69" s="161" t="e">
        <f>(G67-F67)/G67</f>
        <v>#DIV/0!</v>
      </c>
      <c r="H69" s="161" t="e">
        <f t="shared" ref="H69:BD69" si="38">(H67-G67)/H67</f>
        <v>#DIV/0!</v>
      </c>
      <c r="I69" s="161">
        <f t="shared" si="38"/>
        <v>1</v>
      </c>
      <c r="J69" s="161">
        <f t="shared" si="38"/>
        <v>6.4200533195746992E-2</v>
      </c>
      <c r="K69" s="161">
        <f t="shared" si="38"/>
        <v>6.0842136487898851E-2</v>
      </c>
      <c r="L69" s="161">
        <f t="shared" si="38"/>
        <v>5.7876053458232546E-2</v>
      </c>
      <c r="M69" s="161">
        <f t="shared" si="38"/>
        <v>7.7540816930993309E-2</v>
      </c>
      <c r="N69" s="161">
        <f t="shared" si="38"/>
        <v>7.257975778785182E-2</v>
      </c>
      <c r="O69" s="161">
        <f t="shared" si="38"/>
        <v>6.8291979617023851E-2</v>
      </c>
      <c r="P69" s="161">
        <f t="shared" si="38"/>
        <v>6.4559859780081733E-2</v>
      </c>
      <c r="Q69" s="161">
        <f t="shared" si="38"/>
        <v>6.129330055460696E-2</v>
      </c>
      <c r="R69" s="161">
        <f t="shared" si="38"/>
        <v>5.8422368581938021E-2</v>
      </c>
      <c r="S69" s="161">
        <f t="shared" si="38"/>
        <v>5.589220683664789E-2</v>
      </c>
      <c r="T69" s="161">
        <f t="shared" si="38"/>
        <v>5.3659443396068845E-2</v>
      </c>
      <c r="U69" s="161">
        <f t="shared" si="38"/>
        <v>5.1689609757799321E-2</v>
      </c>
      <c r="V69" s="161">
        <f t="shared" si="38"/>
        <v>4.9955254471091851E-2</v>
      </c>
      <c r="W69" s="161">
        <f t="shared" si="38"/>
        <v>4.8434544526865984E-2</v>
      </c>
      <c r="X69" s="161">
        <f t="shared" si="38"/>
        <v>4.7110214350919097E-2</v>
      </c>
      <c r="Y69" s="161">
        <f t="shared" si="38"/>
        <v>5.2641755682845792E-2</v>
      </c>
      <c r="Z69" s="161">
        <f t="shared" si="38"/>
        <v>5.1071331148635352E-2</v>
      </c>
      <c r="AA69" s="161">
        <f t="shared" si="38"/>
        <v>4.9725381899132247E-2</v>
      </c>
      <c r="AB69" s="161">
        <f t="shared" si="38"/>
        <v>4.8590101550489748E-2</v>
      </c>
      <c r="AC69" s="161">
        <f t="shared" si="38"/>
        <v>4.765028385874287E-2</v>
      </c>
      <c r="AD69" s="161">
        <f t="shared" si="38"/>
        <v>4.6898808648368213E-2</v>
      </c>
      <c r="AE69" s="161">
        <f t="shared" si="38"/>
        <v>4.6329481763269321E-2</v>
      </c>
      <c r="AF69" s="161">
        <f t="shared" si="38"/>
        <v>4.5938276267539692E-2</v>
      </c>
      <c r="AG69" s="161">
        <f t="shared" si="38"/>
        <v>4.5722981493878698E-2</v>
      </c>
      <c r="AH69" s="161">
        <f t="shared" si="38"/>
        <v>4.56828899130143E-2</v>
      </c>
      <c r="AI69" s="161">
        <f t="shared" si="38"/>
        <v>4.5818505142343979E-2</v>
      </c>
      <c r="AJ69" s="161">
        <f t="shared" si="38"/>
        <v>4.6131257797705938E-2</v>
      </c>
      <c r="AK69" s="161">
        <f t="shared" si="38"/>
        <v>1.9607843137254884E-2</v>
      </c>
      <c r="AL69" s="161">
        <f t="shared" si="38"/>
        <v>1.9607843137254943E-2</v>
      </c>
      <c r="AM69" s="161">
        <f t="shared" si="38"/>
        <v>1.9607843137254919E-2</v>
      </c>
      <c r="AN69" s="161">
        <f t="shared" si="38"/>
        <v>1.9607843137255047E-2</v>
      </c>
      <c r="AO69" s="161">
        <f t="shared" si="38"/>
        <v>1.960784313725494E-2</v>
      </c>
      <c r="AP69" s="161">
        <f t="shared" si="38"/>
        <v>1.9607843137254888E-2</v>
      </c>
      <c r="AQ69" s="161">
        <f t="shared" si="38"/>
        <v>1.9607843137254929E-2</v>
      </c>
      <c r="AR69" s="161">
        <f t="shared" si="38"/>
        <v>1.960784313725486E-2</v>
      </c>
      <c r="AS69" s="161">
        <f t="shared" si="38"/>
        <v>1.9607843137255013E-2</v>
      </c>
      <c r="AT69" s="161">
        <f t="shared" si="38"/>
        <v>1.9607843137254881E-2</v>
      </c>
      <c r="AU69" s="161">
        <f t="shared" si="38"/>
        <v>1.9607843137254912E-2</v>
      </c>
      <c r="AV69" s="161">
        <f t="shared" si="38"/>
        <v>1.9607843137254968E-2</v>
      </c>
      <c r="AW69" s="161">
        <f t="shared" si="38"/>
        <v>1.9607843137254825E-2</v>
      </c>
      <c r="AX69" s="161">
        <f t="shared" si="38"/>
        <v>1.9607843137254923E-2</v>
      </c>
      <c r="AY69" s="161">
        <f t="shared" si="38"/>
        <v>1.9607843137254846E-2</v>
      </c>
      <c r="AZ69" s="161">
        <f t="shared" si="38"/>
        <v>1.9607843137255068E-2</v>
      </c>
      <c r="BA69" s="161">
        <f t="shared" si="38"/>
        <v>1.9607843137254777E-2</v>
      </c>
      <c r="BB69" s="161">
        <f t="shared" si="38"/>
        <v>1.9607843137254964E-2</v>
      </c>
      <c r="BC69" s="161">
        <f t="shared" si="38"/>
        <v>1.9607843137254916E-2</v>
      </c>
      <c r="BD69" s="161">
        <f t="shared" si="38"/>
        <v>1.9607843137254857E-2</v>
      </c>
    </row>
    <row r="70" spans="1:56" s="151" customFormat="1" x14ac:dyDescent="0.25">
      <c r="B70" s="155"/>
      <c r="N70" s="221"/>
    </row>
    <row r="71" spans="1:56" s="151" customFormat="1" x14ac:dyDescent="0.25">
      <c r="A71" s="9" t="s">
        <v>55</v>
      </c>
      <c r="B71" s="62">
        <f>B15</f>
        <v>44593</v>
      </c>
      <c r="C71" s="62">
        <f>B71+31</f>
        <v>44624</v>
      </c>
      <c r="D71" s="62">
        <f t="shared" ref="D71:BD71" si="39">C71+31</f>
        <v>44655</v>
      </c>
      <c r="E71" s="62">
        <f t="shared" si="39"/>
        <v>44686</v>
      </c>
      <c r="F71" s="62">
        <f t="shared" si="39"/>
        <v>44717</v>
      </c>
      <c r="G71" s="62">
        <f t="shared" si="39"/>
        <v>44748</v>
      </c>
      <c r="H71" s="62">
        <f t="shared" si="39"/>
        <v>44779</v>
      </c>
      <c r="I71" s="62">
        <f t="shared" si="39"/>
        <v>44810</v>
      </c>
      <c r="J71" s="62">
        <f t="shared" si="39"/>
        <v>44841</v>
      </c>
      <c r="K71" s="62">
        <f t="shared" si="39"/>
        <v>44872</v>
      </c>
      <c r="L71" s="62">
        <f t="shared" si="39"/>
        <v>44903</v>
      </c>
      <c r="M71" s="62">
        <f t="shared" si="39"/>
        <v>44934</v>
      </c>
      <c r="N71" s="62">
        <f t="shared" si="39"/>
        <v>44965</v>
      </c>
      <c r="O71" s="62">
        <f t="shared" si="39"/>
        <v>44996</v>
      </c>
      <c r="P71" s="62">
        <f t="shared" si="39"/>
        <v>45027</v>
      </c>
      <c r="Q71" s="62">
        <f t="shared" si="39"/>
        <v>45058</v>
      </c>
      <c r="R71" s="62">
        <f t="shared" si="39"/>
        <v>45089</v>
      </c>
      <c r="S71" s="62">
        <f t="shared" si="39"/>
        <v>45120</v>
      </c>
      <c r="T71" s="62">
        <f t="shared" si="39"/>
        <v>45151</v>
      </c>
      <c r="U71" s="62">
        <f t="shared" si="39"/>
        <v>45182</v>
      </c>
      <c r="V71" s="62">
        <f t="shared" si="39"/>
        <v>45213</v>
      </c>
      <c r="W71" s="62">
        <f t="shared" si="39"/>
        <v>45244</v>
      </c>
      <c r="X71" s="62">
        <f t="shared" si="39"/>
        <v>45275</v>
      </c>
      <c r="Y71" s="62">
        <f t="shared" si="39"/>
        <v>45306</v>
      </c>
      <c r="Z71" s="62">
        <f t="shared" si="39"/>
        <v>45337</v>
      </c>
      <c r="AA71" s="62">
        <f t="shared" si="39"/>
        <v>45368</v>
      </c>
      <c r="AB71" s="62">
        <f t="shared" si="39"/>
        <v>45399</v>
      </c>
      <c r="AC71" s="62">
        <f t="shared" si="39"/>
        <v>45430</v>
      </c>
      <c r="AD71" s="62">
        <f t="shared" si="39"/>
        <v>45461</v>
      </c>
      <c r="AE71" s="62">
        <f t="shared" si="39"/>
        <v>45492</v>
      </c>
      <c r="AF71" s="62">
        <f t="shared" si="39"/>
        <v>45523</v>
      </c>
      <c r="AG71" s="62">
        <f t="shared" si="39"/>
        <v>45554</v>
      </c>
      <c r="AH71" s="62">
        <f t="shared" si="39"/>
        <v>45585</v>
      </c>
      <c r="AI71" s="62">
        <f t="shared" si="39"/>
        <v>45616</v>
      </c>
      <c r="AJ71" s="62">
        <f t="shared" si="39"/>
        <v>45647</v>
      </c>
      <c r="AK71" s="62">
        <f t="shared" si="39"/>
        <v>45678</v>
      </c>
      <c r="AL71" s="62">
        <f t="shared" si="39"/>
        <v>45709</v>
      </c>
      <c r="AM71" s="62">
        <f t="shared" si="39"/>
        <v>45740</v>
      </c>
      <c r="AN71" s="62">
        <f t="shared" si="39"/>
        <v>45771</v>
      </c>
      <c r="AO71" s="62">
        <f t="shared" si="39"/>
        <v>45802</v>
      </c>
      <c r="AP71" s="62">
        <f t="shared" si="39"/>
        <v>45833</v>
      </c>
      <c r="AQ71" s="62">
        <f t="shared" si="39"/>
        <v>45864</v>
      </c>
      <c r="AR71" s="62">
        <f t="shared" si="39"/>
        <v>45895</v>
      </c>
      <c r="AS71" s="62">
        <f t="shared" si="39"/>
        <v>45926</v>
      </c>
      <c r="AT71" s="62">
        <f t="shared" si="39"/>
        <v>45957</v>
      </c>
      <c r="AU71" s="62">
        <f t="shared" si="39"/>
        <v>45988</v>
      </c>
      <c r="AV71" s="62">
        <f t="shared" si="39"/>
        <v>46019</v>
      </c>
      <c r="AW71" s="62">
        <f t="shared" si="39"/>
        <v>46050</v>
      </c>
      <c r="AX71" s="62">
        <f t="shared" si="39"/>
        <v>46081</v>
      </c>
      <c r="AY71" s="62">
        <f t="shared" si="39"/>
        <v>46112</v>
      </c>
      <c r="AZ71" s="62">
        <f t="shared" si="39"/>
        <v>46143</v>
      </c>
      <c r="BA71" s="62">
        <f t="shared" si="39"/>
        <v>46174</v>
      </c>
      <c r="BB71" s="62">
        <f t="shared" si="39"/>
        <v>46205</v>
      </c>
      <c r="BC71" s="62">
        <f t="shared" si="39"/>
        <v>46236</v>
      </c>
      <c r="BD71" s="62">
        <f t="shared" si="39"/>
        <v>46267</v>
      </c>
    </row>
    <row r="72" spans="1:56" s="151" customFormat="1" outlineLevel="1" x14ac:dyDescent="0.25">
      <c r="A72" s="18" t="s">
        <v>359</v>
      </c>
      <c r="B72" s="158">
        <f>IF($C$16=1,$F$13,IF($C$16=2,$F$13/2,IF($C$16=3,$F$13/3,IF($C$16=4,$F$13/4,IF($C$16=5,$F$13/5,IF($C$16=6,$F$13/6,IF($C$16=7,$F$13/7,IF($C$16=8,$F$13/8,"0"))))))))</f>
        <v>26432</v>
      </c>
      <c r="C72" s="158">
        <f>IF($C$16=2,$F$13/2,IF($C$16=3,$F$13/3,IF($C$16=4,$F$13/4,IF($C$16=5,$F$13/5,IF($C$16=6,$F$13/6,IF($C$16=7,$F$13/7,IF($C$16=8,$F$13/8,"0")))))))</f>
        <v>26432</v>
      </c>
      <c r="D72" s="158">
        <f>IF($C$16=3,$F$13/3,IF($C$16=4,$F$13/4,IF($C$16=5,$F$13/5,IF($C$16=6,$F$13/6,IF($C$16=7,$F$13/7,IF($C$16=8,$F$13/8,"0"))))))</f>
        <v>26432</v>
      </c>
      <c r="E72" s="158">
        <f>IF($C$16=4,$F$13/4,IF($C$16=5,$F$13/5,IF($C$16=6,$F$13/6,IF($C$16=7,$F$13/7,IF($C$16=8,$F$13/8,"0")))))</f>
        <v>26432</v>
      </c>
      <c r="F72" s="158">
        <f>IF($C$16=5,$F$13/5,IF($C$16=6,$F$13/6,IF($C$16=7,$F$13/7,IF($C$16=8,$F$13/8,"0"))))</f>
        <v>26432</v>
      </c>
      <c r="G72" s="158" t="str">
        <f>IF($C$16=6,$F$13/6,IF($C$16=7,$F$13/7,IF($C$16=8,$F$13/8,"0")))</f>
        <v>0</v>
      </c>
      <c r="H72" s="158" t="str">
        <f>IF($C$16=7,$F$13/7,IF($C$16=8,$F$13/8,"0"))</f>
        <v>0</v>
      </c>
      <c r="I72" s="158" t="str">
        <f>IF($C$16=8,$F$13/8,"0")</f>
        <v>0</v>
      </c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</row>
    <row r="73" spans="1:56" s="151" customFormat="1" outlineLevel="1" x14ac:dyDescent="0.25">
      <c r="A73" s="18" t="s">
        <v>360</v>
      </c>
      <c r="B73" s="230"/>
      <c r="C73" s="231" t="b">
        <f>IF(C72="",IF($C$19=1,$M$13,IF($C$19=2,$M$13/2,IF($C$19=3,$M$13/3,IF($C$19=4,$M$13/4,IF($C$19=5,$M$13/5))))))</f>
        <v>0</v>
      </c>
      <c r="D73" s="231" t="b">
        <f>IF(C73=M10,0,IF(D72="0",IF($C$19=1,$M$13,IF($C$19=2,$M$13/2,IF($C$19=3,$M$13/3,IF($C$19=4,$M$13/4,IF($C$19=5,$M$13/5)))))))</f>
        <v>0</v>
      </c>
      <c r="E73" s="231" t="b">
        <f>IF(SUM($C$73:D73)=$M$13,0,IF(E72="0",IF($C$19=1,$M$13,IF($C$19=2,$M$13/2,IF($C$19=3,$M$13/3,IF($C$19=4,$M$13/4,IF($C$19=5,$M$13/5)))))))</f>
        <v>0</v>
      </c>
      <c r="F73" s="231" t="b">
        <f>IF(SUM($C$73:E73)=$M$13,0,IF(F72="0",IF($C$19=1,$M$13,IF($C$19=2,$M$13/2,IF($C$19=3,$M$13/3,IF($C$19=4,$M$13/4,IF($C$19=5,$M$13/5)))))))</f>
        <v>0</v>
      </c>
      <c r="G73" s="231">
        <f>IF(SUM($C$73:F73)=$M$13,0,IF(G72="0",IF($C$19=1,$M$13,IF($C$19=2,$M$13/2,IF($C$19=3,$M$13/3,IF($C$19=4,$M$13/4,IF($C$19=5,$M$13/5)))))))</f>
        <v>10871</v>
      </c>
      <c r="H73" s="231">
        <f>IF(SUM($C$73:G73)=$M$13,0,IF(H72="0",IF($C$19=1,$M$13,IF($C$19=2,$M$13/2,IF($C$19=3,$M$13/3,IF($C$19=4,$M$13/4,IF($C$19=5,$M$13/5)))))))</f>
        <v>10871</v>
      </c>
      <c r="I73" s="231">
        <f>IF(SUM($C$73:H73)=$M$13,0,IF(I72="0",IF($C$19=1,$M$13,IF($C$19=2,$M$13/2,IF($C$19=3,$M$13/3,IF($C$19=4,$M$13/4,IF($C$19=5,$M$13/5)))))))</f>
        <v>0</v>
      </c>
      <c r="J73" s="231">
        <f>IF(SUM($C$73:I73)=$M$13,0,IF(J72="0",IF($C$19=1,$M$13,IF($C$19=2,$M$13/2,IF($C$19=3,$M$13/3,IF($C$19=4,$M$13/4,IF($C$19=5,$M$13/5)))))))</f>
        <v>0</v>
      </c>
      <c r="K73" s="231">
        <f>IF(SUM($C$73:J73)=$M$13,0,IF(K72="0",IF($C$19=1,$M$13,IF($C$19=2,$M$13/2,IF($C$19=3,$M$13/3,IF($C$19=4,$M$13/4,IF($C$19=5,$M$13/5)))))))</f>
        <v>0</v>
      </c>
      <c r="L73" s="231">
        <f>IF(SUM($C$73:K73)=$M$13,0,IF(L72="0",IF($C$19=1,$M$13,IF($C$19=2,$M$13/2,IF($C$19=3,$M$13/3,IF($C$19=4,$M$13/4,IF($C$19=5,$M$13/5)))))))</f>
        <v>0</v>
      </c>
      <c r="M73" s="231">
        <f>IF(SUM($C$73:L73)=$M$13,0,IF(M72="0",IF($C$19=1,$M$13,IF($C$19=2,$M$13/2,IF($C$19=3,$M$13/3,IF($C$19=4,$M$13/4,IF($C$19=5,$M$13/5)))))))</f>
        <v>0</v>
      </c>
      <c r="N73" s="231">
        <f>IF(SUM($C$73:M73)=$M$13,0,IF(N72="0",IF($C$19=1,$M$13,IF($C$19=2,$M$13/2,IF($C$19=3,$M$13/3,IF($C$19=4,$M$13/4,IF($C$19=5,$M$13/5)))))))</f>
        <v>0</v>
      </c>
      <c r="O73" s="231">
        <f>IF(SUM($C$73:N73)=$M$13,0,IF(O72="0",IF($C$19=1,$M$13,IF($C$19=2,$M$13/2,IF($C$19=3,$M$13/3,IF($C$19=4,$M$13/4,IF($C$19=5,$M$13/5)))))))</f>
        <v>0</v>
      </c>
      <c r="P73" s="231">
        <f>IF(SUM($C$73:O73)=$M$13,0,IF(P72="0",IF($C$19=1,$M$13,IF($C$19=2,$M$13/2,IF($C$19=3,$M$13/3,IF($C$19=4,$M$13/4,IF($C$19=5,$M$13/5)))))))</f>
        <v>0</v>
      </c>
      <c r="Q73" s="231">
        <f>IF(SUM($C$73:P73)=$M$13,0,IF(Q72="0",IF($C$19=1,$M$13,IF($C$19=2,$M$13/2,IF($C$19=3,$M$13/3,IF($C$19=4,$M$13/4,IF($C$19=5,$M$13/5)))))))</f>
        <v>0</v>
      </c>
      <c r="R73" s="231">
        <f>IF(SUM($C$73:Q73)=$M$13,0,IF(R72="0",IF($C$19=1,$M$13,IF($C$19=2,$M$13/2,IF($C$19=3,$M$13/3,IF($C$19=4,$M$13/4,IF($C$19=5,$M$13/5)))))))</f>
        <v>0</v>
      </c>
      <c r="S73" s="231">
        <f>IF(SUM($C$73:R73)=$M$13,0,IF(S72="0",IF($C$19=1,$M$13,IF($C$19=2,$M$13/2,IF($C$19=3,$M$13/3,IF($C$19=4,$M$13/4,IF($C$19=5,$M$13/5)))))))</f>
        <v>0</v>
      </c>
      <c r="T73" s="231">
        <f>IF(SUM($C$73:S73)=$M$13,0,IF(T72="0",IF($C$19=1,$M$13,IF($C$19=2,$M$13/2,IF($C$19=3,$M$13/3,IF($C$19=4,$M$13/4,IF($C$19=5,$M$13/5)))))))</f>
        <v>0</v>
      </c>
      <c r="U73" s="231">
        <f>IF(SUM($C$73:T73)=$M$13,0,IF(U72="0",IF($C$19=1,$M$13,IF($C$19=2,$M$13/2,IF($C$19=3,$M$13/3,IF($C$19=4,$M$13/4,IF($C$19=5,$M$13/5)))))))</f>
        <v>0</v>
      </c>
      <c r="V73" s="231">
        <f>IF(SUM($C$73:U73)=$M$13,0,IF(V72="0",IF($C$19=1,$M$13,IF($C$19=2,$M$13/2,IF($C$19=3,$M$13/3,IF($C$19=4,$M$13/4,IF($C$19=5,$M$13/5)))))))</f>
        <v>0</v>
      </c>
      <c r="W73" s="231">
        <f>IF(SUM($C$73:V73)=$M$13,0,IF(W72="0",IF($C$19=1,$M$13,IF($C$19=2,$M$13/2,IF($C$19=3,$M$13/3,IF($C$19=4,$M$13/4,IF($C$19=5,$M$13/5)))))))</f>
        <v>0</v>
      </c>
      <c r="X73" s="231">
        <f>IF(SUM($C$73:W73)=$M$13,0,IF(X72="0",IF($C$19=1,$M$13,IF($C$19=2,$M$13/2,IF($C$19=3,$M$13/3,IF($C$19=4,$M$13/4,IF($C$19=5,$M$13/5)))))))</f>
        <v>0</v>
      </c>
      <c r="Y73" s="231">
        <f>IF(SUM($C$73:X73)=$M$13,0,IF(Y72="0",IF($C$19=1,$M$13,IF($C$19=2,$M$13/2,IF($C$19=3,$M$13/3,IF($C$19=4,$M$13/4,IF($C$19=5,$M$13/5)))))))</f>
        <v>0</v>
      </c>
      <c r="Z73" s="231">
        <f>IF(SUM($C$73:Y73)=$M$13,0,IF(Z72="0",IF($C$19=1,$M$13,IF($C$19=2,$M$13/2,IF($C$19=3,$M$13/3,IF($C$19=4,$M$13/4,IF($C$19=5,$M$13/5)))))))</f>
        <v>0</v>
      </c>
      <c r="AA73" s="231">
        <f>IF(SUM($C$73:Z73)=$M$13,0,IF(AA72="0",IF($C$19=1,$M$13,IF($C$19=2,$M$13/2,IF($C$19=3,$M$13/3,IF($C$19=4,$M$13/4,IF($C$19=5,$M$13/5)))))))</f>
        <v>0</v>
      </c>
      <c r="AB73" s="231">
        <f>IF(SUM($C$73:AA73)=$M$13,0,IF(AB72="0",IF($C$19=1,$M$13,IF($C$19=2,$M$13/2,IF($C$19=3,$M$13/3,IF($C$19=4,$M$13/4,IF($C$19=5,$M$13/5)))))))</f>
        <v>0</v>
      </c>
      <c r="AC73" s="231">
        <f>IF(SUM($C$73:AB73)=$M$13,0,IF(AC72="0",IF($C$19=1,$M$13,IF($C$19=2,$M$13/2,IF($C$19=3,$M$13/3,IF($C$19=4,$M$13/4,IF($C$19=5,$M$13/5)))))))</f>
        <v>0</v>
      </c>
      <c r="AD73" s="231">
        <f>IF(SUM($C$73:AC73)=$M$13,0,IF(AD72="0",IF($C$19=1,$M$13,IF($C$19=2,$M$13/2,IF($C$19=3,$M$13/3,IF($C$19=4,$M$13/4,IF($C$19=5,$M$13/5)))))))</f>
        <v>0</v>
      </c>
      <c r="AE73" s="231">
        <f>IF(SUM($C$73:AD73)=$M$13,0,IF(AE72="0",IF($C$19=1,$M$13,IF($C$19=2,$M$13/2,IF($C$19=3,$M$13/3,IF($C$19=4,$M$13/4,IF($C$19=5,$M$13/5)))))))</f>
        <v>0</v>
      </c>
      <c r="AF73" s="231">
        <f>IF(SUM($C$73:AE73)=$M$13,0,IF(AF72="0",IF($C$19=1,$M$13,IF($C$19=2,$M$13/2,IF($C$19=3,$M$13/3,IF($C$19=4,$M$13/4,IF($C$19=5,$M$13/5)))))))</f>
        <v>0</v>
      </c>
      <c r="AG73" s="231">
        <f>IF(SUM($C$73:AF73)=$M$13,0,IF(AG72="0",IF($C$19=1,$M$13,IF($C$19=2,$M$13/2,IF($C$19=3,$M$13/3,IF($C$19=4,$M$13/4,IF($C$19=5,$M$13/5)))))))</f>
        <v>0</v>
      </c>
      <c r="AH73" s="231">
        <f>IF(SUM($C$73:AG73)=$M$13,0,IF(AH72="0",IF($C$19=1,$M$13,IF($C$19=2,$M$13/2,IF($C$19=3,$M$13/3,IF($C$19=4,$M$13/4,IF($C$19=5,$M$13/5)))))))</f>
        <v>0</v>
      </c>
      <c r="AI73" s="231">
        <f>IF(SUM($C$73:AH73)=$M$13,0,IF(AI72="0",IF($C$19=1,$M$13,IF($C$19=2,$M$13/2,IF($C$19=3,$M$13/3,IF($C$19=4,$M$13/4,IF($C$19=5,$M$13/5)))))))</f>
        <v>0</v>
      </c>
      <c r="AJ73" s="231">
        <f>IF(SUM($C$73:AI73)=$M$13,0,IF(AJ72="0",IF($C$19=1,$M$13,IF($C$19=2,$M$13/2,IF($C$19=3,$M$13/3,IF($C$19=4,$M$13/4,IF($C$19=5,$M$13/5)))))))</f>
        <v>0</v>
      </c>
      <c r="AK73" s="231">
        <f>IF(SUM($C$73:AJ73)=$M$13,0,IF(AK72="0",IF($C$19=1,$M$13,IF($C$19=2,$M$13/2,IF($C$19=3,$M$13/3,IF($C$19=4,$M$13/4,IF($C$19=5,$M$13/5)))))))</f>
        <v>0</v>
      </c>
      <c r="AL73" s="231">
        <f>IF(SUM($C$73:AK73)=$M$13,0,IF(AL72="0",IF($C$19=1,$M$13,IF($C$19=2,$M$13/2,IF($C$19=3,$M$13/3,IF($C$19=4,$M$13/4,IF($C$19=5,$M$13/5)))))))</f>
        <v>0</v>
      </c>
      <c r="AM73" s="231">
        <f>IF(SUM($C$73:AL73)=$M$13,0,IF(AM72="0",IF($C$19=1,$M$13,IF($C$19=2,$M$13/2,IF($C$19=3,$M$13/3,IF($C$19=4,$M$13/4,IF($C$19=5,$M$13/5)))))))</f>
        <v>0</v>
      </c>
      <c r="AN73" s="231">
        <f>IF(SUM($C$73:AM73)=$M$13,0,IF(AN72="0",IF($C$19=1,$M$13,IF($C$19=2,$M$13/2,IF($C$19=3,$M$13/3,IF($C$19=4,$M$13/4,IF($C$19=5,$M$13/5)))))))</f>
        <v>0</v>
      </c>
      <c r="AO73" s="231">
        <f>IF(SUM($C$73:AN73)=$M$13,0,IF(AO72="0",IF($C$19=1,$M$13,IF($C$19=2,$M$13/2,IF($C$19=3,$M$13/3,IF($C$19=4,$M$13/4,IF($C$19=5,$M$13/5)))))))</f>
        <v>0</v>
      </c>
      <c r="AP73" s="231">
        <f>IF(SUM($C$73:AO73)=$M$13,0,IF(AP72="0",IF($C$19=1,$M$13,IF($C$19=2,$M$13/2,IF($C$19=3,$M$13/3,IF($C$19=4,$M$13/4,IF($C$19=5,$M$13/5)))))))</f>
        <v>0</v>
      </c>
      <c r="AQ73" s="231">
        <f>IF(SUM($C$73:AP73)=$M$13,0,IF(AQ72="0",IF($C$19=1,$M$13,IF($C$19=2,$M$13/2,IF($C$19=3,$M$13/3,IF($C$19=4,$M$13/4,IF($C$19=5,$M$13/5)))))))</f>
        <v>0</v>
      </c>
      <c r="AR73" s="231">
        <f>IF(SUM($C$73:AQ73)=$M$13,0,IF(AR72="0",IF($C$19=1,$M$13,IF($C$19=2,$M$13/2,IF($C$19=3,$M$13/3,IF($C$19=4,$M$13/4,IF($C$19=5,$M$13/5)))))))</f>
        <v>0</v>
      </c>
      <c r="AS73" s="231">
        <f>IF(SUM($C$73:AR73)=$M$13,0,IF(AS72="0",IF($C$19=1,$M$13,IF($C$19=2,$M$13/2,IF($C$19=3,$M$13/3,IF($C$19=4,$M$13/4,IF($C$19=5,$M$13/5)))))))</f>
        <v>0</v>
      </c>
      <c r="AT73" s="231">
        <f>IF(SUM($C$73:AS73)=$M$13,0,IF(AT72="0",IF($C$19=1,$M$13,IF($C$19=2,$M$13/2,IF($C$19=3,$M$13/3,IF($C$19=4,$M$13/4,IF($C$19=5,$M$13/5)))))))</f>
        <v>0</v>
      </c>
      <c r="AU73" s="231">
        <f>IF(SUM($C$73:AT73)=$M$13,0,IF(AU72="0",IF($C$19=1,$M$13,IF($C$19=2,$M$13/2,IF($C$19=3,$M$13/3,IF($C$19=4,$M$13/4,IF($C$19=5,$M$13/5)))))))</f>
        <v>0</v>
      </c>
      <c r="AV73" s="231">
        <f>IF(SUM($C$73:AU73)=$M$13,0,IF(AV72="0",IF($C$19=1,$M$13,IF($C$19=2,$M$13/2,IF($C$19=3,$M$13/3,IF($C$19=4,$M$13/4,IF($C$19=5,$M$13/5)))))))</f>
        <v>0</v>
      </c>
      <c r="AW73" s="231">
        <f>IF(SUM($C$73:AV73)=$M$13,0,IF(AW72="0",IF($C$19=1,$M$13,IF($C$19=2,$M$13/2,IF($C$19=3,$M$13/3,IF($C$19=4,$M$13/4,IF($C$19=5,$M$13/5)))))))</f>
        <v>0</v>
      </c>
      <c r="AX73" s="231">
        <f>IF(SUM($C$73:AW73)=$M$13,0,IF(AX72="0",IF($C$19=1,$M$13,IF($C$19=2,$M$13/2,IF($C$19=3,$M$13/3,IF($C$19=4,$M$13/4,IF($C$19=5,$M$13/5)))))))</f>
        <v>0</v>
      </c>
      <c r="AY73" s="231">
        <f>IF(SUM($C$73:AX73)=$M$13,0,IF(AY72="0",IF($C$19=1,$M$13,IF($C$19=2,$M$13/2,IF($C$19=3,$M$13/3,IF($C$19=4,$M$13/4,IF($C$19=5,$M$13/5)))))))</f>
        <v>0</v>
      </c>
      <c r="AZ73" s="231">
        <f>IF(SUM($C$73:AY73)=$M$13,0,IF(AZ72="0",IF($C$19=1,$M$13,IF($C$19=2,$M$13/2,IF($C$19=3,$M$13/3,IF($C$19=4,$M$13/4,IF($C$19=5,$M$13/5)))))))</f>
        <v>0</v>
      </c>
      <c r="BA73" s="231">
        <f>IF(SUM($C$73:AZ73)=$M$13,0,IF(BA72="0",IF($C$19=1,$M$13,IF($C$19=2,$M$13/2,IF($C$19=3,$M$13/3,IF($C$19=4,$M$13/4,IF($C$19=5,$M$13/5)))))))</f>
        <v>0</v>
      </c>
      <c r="BB73" s="231">
        <f>IF(SUM($C$73:BA73)=$M$13,0,IF(BB72="0",IF($C$19=1,$M$13,IF($C$19=2,$M$13/2,IF($C$19=3,$M$13/3,IF($C$19=4,$M$13/4,IF($C$19=5,$M$13/5)))))))</f>
        <v>0</v>
      </c>
      <c r="BC73" s="231">
        <f>IF(SUM($C$73:BB73)=$M$13,0,IF(BC72="0",IF($C$19=1,$M$13,IF($C$19=2,$M$13/2,IF($C$19=3,$M$13/3,IF($C$19=4,$M$13/4,IF($C$19=5,$M$13/5)))))))</f>
        <v>0</v>
      </c>
      <c r="BD73" s="231">
        <f>IF(SUM($C$73:BC73)=$M$13,0,IF(BD72="0",IF($C$19=1,$M$13,IF($C$19=2,$M$13/2,IF($C$19=3,$M$13/3,IF($C$19=4,$M$13/4,IF($C$19=5,$M$13/5)))))))</f>
        <v>0</v>
      </c>
    </row>
    <row r="74" spans="1:56" s="151" customFormat="1" outlineLevel="1" x14ac:dyDescent="0.25">
      <c r="A74" s="18" t="s">
        <v>467</v>
      </c>
      <c r="B74" s="296" t="str">
        <f>IF(SUM(B72:B73)&gt;0,"0",$I$22)</f>
        <v>0</v>
      </c>
      <c r="C74" s="296" t="str">
        <f t="shared" ref="C74:BD74" si="40">IF(SUM(C72:C73)&gt;0,"0",$I$22)</f>
        <v>0</v>
      </c>
      <c r="D74" s="296" t="str">
        <f t="shared" si="40"/>
        <v>0</v>
      </c>
      <c r="E74" s="296" t="str">
        <f t="shared" si="40"/>
        <v>0</v>
      </c>
      <c r="F74" s="296" t="str">
        <f t="shared" si="40"/>
        <v>0</v>
      </c>
      <c r="G74" s="296" t="str">
        <f t="shared" si="40"/>
        <v>0</v>
      </c>
      <c r="H74" s="296" t="str">
        <f t="shared" si="40"/>
        <v>0</v>
      </c>
      <c r="I74" s="296">
        <f t="shared" si="40"/>
        <v>15000</v>
      </c>
      <c r="J74" s="296">
        <f t="shared" si="40"/>
        <v>15000</v>
      </c>
      <c r="K74" s="296">
        <f t="shared" si="40"/>
        <v>15000</v>
      </c>
      <c r="L74" s="296">
        <f t="shared" si="40"/>
        <v>15000</v>
      </c>
      <c r="M74" s="296">
        <f t="shared" si="40"/>
        <v>15000</v>
      </c>
      <c r="N74" s="296">
        <f t="shared" si="40"/>
        <v>15000</v>
      </c>
      <c r="O74" s="296">
        <f t="shared" si="40"/>
        <v>15000</v>
      </c>
      <c r="P74" s="296">
        <f t="shared" si="40"/>
        <v>15000</v>
      </c>
      <c r="Q74" s="296">
        <f t="shared" si="40"/>
        <v>15000</v>
      </c>
      <c r="R74" s="296">
        <f t="shared" si="40"/>
        <v>15000</v>
      </c>
      <c r="S74" s="296">
        <f t="shared" si="40"/>
        <v>15000</v>
      </c>
      <c r="T74" s="296">
        <f t="shared" si="40"/>
        <v>15000</v>
      </c>
      <c r="U74" s="296">
        <f t="shared" si="40"/>
        <v>15000</v>
      </c>
      <c r="V74" s="296">
        <f t="shared" si="40"/>
        <v>15000</v>
      </c>
      <c r="W74" s="296">
        <f t="shared" si="40"/>
        <v>15000</v>
      </c>
      <c r="X74" s="296">
        <f t="shared" si="40"/>
        <v>15000</v>
      </c>
      <c r="Y74" s="296">
        <f t="shared" si="40"/>
        <v>15000</v>
      </c>
      <c r="Z74" s="296">
        <f t="shared" si="40"/>
        <v>15000</v>
      </c>
      <c r="AA74" s="296">
        <f t="shared" si="40"/>
        <v>15000</v>
      </c>
      <c r="AB74" s="296">
        <f t="shared" si="40"/>
        <v>15000</v>
      </c>
      <c r="AC74" s="296">
        <f t="shared" si="40"/>
        <v>15000</v>
      </c>
      <c r="AD74" s="296">
        <f t="shared" si="40"/>
        <v>15000</v>
      </c>
      <c r="AE74" s="296">
        <f t="shared" si="40"/>
        <v>15000</v>
      </c>
      <c r="AF74" s="296">
        <f t="shared" si="40"/>
        <v>15000</v>
      </c>
      <c r="AG74" s="296">
        <f t="shared" si="40"/>
        <v>15000</v>
      </c>
      <c r="AH74" s="296">
        <f t="shared" si="40"/>
        <v>15000</v>
      </c>
      <c r="AI74" s="296">
        <f t="shared" si="40"/>
        <v>15000</v>
      </c>
      <c r="AJ74" s="296">
        <f t="shared" si="40"/>
        <v>15000</v>
      </c>
      <c r="AK74" s="296">
        <f t="shared" si="40"/>
        <v>15000</v>
      </c>
      <c r="AL74" s="296">
        <f t="shared" si="40"/>
        <v>15000</v>
      </c>
      <c r="AM74" s="296">
        <f t="shared" si="40"/>
        <v>15000</v>
      </c>
      <c r="AN74" s="296">
        <f t="shared" si="40"/>
        <v>15000</v>
      </c>
      <c r="AO74" s="296">
        <f t="shared" si="40"/>
        <v>15000</v>
      </c>
      <c r="AP74" s="296">
        <f t="shared" si="40"/>
        <v>15000</v>
      </c>
      <c r="AQ74" s="296">
        <f t="shared" si="40"/>
        <v>15000</v>
      </c>
      <c r="AR74" s="296">
        <f t="shared" si="40"/>
        <v>15000</v>
      </c>
      <c r="AS74" s="296">
        <f t="shared" si="40"/>
        <v>15000</v>
      </c>
      <c r="AT74" s="296">
        <f t="shared" si="40"/>
        <v>15000</v>
      </c>
      <c r="AU74" s="296">
        <f t="shared" si="40"/>
        <v>15000</v>
      </c>
      <c r="AV74" s="296">
        <f t="shared" si="40"/>
        <v>15000</v>
      </c>
      <c r="AW74" s="296">
        <f t="shared" si="40"/>
        <v>15000</v>
      </c>
      <c r="AX74" s="296">
        <f t="shared" si="40"/>
        <v>15000</v>
      </c>
      <c r="AY74" s="296">
        <f t="shared" si="40"/>
        <v>15000</v>
      </c>
      <c r="AZ74" s="296">
        <f t="shared" si="40"/>
        <v>15000</v>
      </c>
      <c r="BA74" s="296">
        <f t="shared" si="40"/>
        <v>15000</v>
      </c>
      <c r="BB74" s="296">
        <f t="shared" si="40"/>
        <v>15000</v>
      </c>
      <c r="BC74" s="296">
        <f t="shared" si="40"/>
        <v>15000</v>
      </c>
      <c r="BD74" s="296">
        <f t="shared" si="40"/>
        <v>15000</v>
      </c>
    </row>
    <row r="75" spans="1:56" s="151" customFormat="1" outlineLevel="1" x14ac:dyDescent="0.25">
      <c r="A75" s="18" t="s">
        <v>364</v>
      </c>
      <c r="B75" s="158">
        <f>I16</f>
        <v>2000</v>
      </c>
      <c r="C75" s="194">
        <f>B75*(1+$I$17)</f>
        <v>2029.9999999999998</v>
      </c>
      <c r="D75" s="194">
        <f t="shared" ref="D75:BD75" si="41">C75*(1+$I$17)</f>
        <v>2060.4499999999994</v>
      </c>
      <c r="E75" s="194">
        <f t="shared" si="41"/>
        <v>2091.356749999999</v>
      </c>
      <c r="F75" s="194">
        <f t="shared" si="41"/>
        <v>2122.7271012499987</v>
      </c>
      <c r="G75" s="194">
        <f t="shared" si="41"/>
        <v>2154.5680077687484</v>
      </c>
      <c r="H75" s="194">
        <f t="shared" si="41"/>
        <v>2186.8865278852795</v>
      </c>
      <c r="I75" s="194">
        <f t="shared" si="41"/>
        <v>2219.6898258035585</v>
      </c>
      <c r="J75" s="194">
        <f t="shared" si="41"/>
        <v>2252.9851731906115</v>
      </c>
      <c r="K75" s="194">
        <f t="shared" si="41"/>
        <v>2286.7799507884706</v>
      </c>
      <c r="L75" s="194">
        <f t="shared" si="41"/>
        <v>2321.0816500502974</v>
      </c>
      <c r="M75" s="194">
        <f t="shared" si="41"/>
        <v>2355.8978748010518</v>
      </c>
      <c r="N75" s="194">
        <f t="shared" si="41"/>
        <v>2391.2363429230672</v>
      </c>
      <c r="O75" s="194">
        <f t="shared" si="41"/>
        <v>2427.1048880669132</v>
      </c>
      <c r="P75" s="194">
        <f t="shared" si="41"/>
        <v>2463.5114613879168</v>
      </c>
      <c r="Q75" s="194">
        <f t="shared" si="41"/>
        <v>2500.4641333087352</v>
      </c>
      <c r="R75" s="194">
        <f t="shared" si="41"/>
        <v>2537.9710953083659</v>
      </c>
      <c r="S75" s="194">
        <f t="shared" si="41"/>
        <v>2576.0406617379913</v>
      </c>
      <c r="T75" s="194">
        <f t="shared" si="41"/>
        <v>2614.6812716640611</v>
      </c>
      <c r="U75" s="194">
        <f t="shared" si="41"/>
        <v>2653.9014907390219</v>
      </c>
      <c r="V75" s="194">
        <f t="shared" si="41"/>
        <v>2693.7100131001071</v>
      </c>
      <c r="W75" s="194">
        <f t="shared" si="41"/>
        <v>2734.1156632966085</v>
      </c>
      <c r="X75" s="194">
        <f t="shared" si="41"/>
        <v>2775.1273982460575</v>
      </c>
      <c r="Y75" s="194">
        <f t="shared" si="41"/>
        <v>2816.7543092197479</v>
      </c>
      <c r="Z75" s="194">
        <f t="shared" si="41"/>
        <v>2859.0056238580437</v>
      </c>
      <c r="AA75" s="194">
        <f t="shared" si="41"/>
        <v>2901.8907082159139</v>
      </c>
      <c r="AB75" s="194">
        <f t="shared" si="41"/>
        <v>2945.4190688391523</v>
      </c>
      <c r="AC75" s="194">
        <f t="shared" si="41"/>
        <v>2989.6003548717395</v>
      </c>
      <c r="AD75" s="194">
        <f t="shared" si="41"/>
        <v>3034.4443601948151</v>
      </c>
      <c r="AE75" s="194">
        <f t="shared" si="41"/>
        <v>3079.9610255977368</v>
      </c>
      <c r="AF75" s="194">
        <f t="shared" si="41"/>
        <v>3126.1604409817028</v>
      </c>
      <c r="AG75" s="194">
        <f t="shared" si="41"/>
        <v>3173.0528475964279</v>
      </c>
      <c r="AH75" s="194">
        <f t="shared" si="41"/>
        <v>3220.648640310374</v>
      </c>
      <c r="AI75" s="194">
        <f t="shared" si="41"/>
        <v>3268.9583699150294</v>
      </c>
      <c r="AJ75" s="194">
        <f t="shared" si="41"/>
        <v>3317.9927454637545</v>
      </c>
      <c r="AK75" s="194">
        <f t="shared" si="41"/>
        <v>3367.7626366457107</v>
      </c>
      <c r="AL75" s="194">
        <f t="shared" si="41"/>
        <v>3418.2790761953961</v>
      </c>
      <c r="AM75" s="194">
        <f t="shared" si="41"/>
        <v>3469.5532623383269</v>
      </c>
      <c r="AN75" s="194">
        <f t="shared" si="41"/>
        <v>3521.5965612734017</v>
      </c>
      <c r="AO75" s="194">
        <f t="shared" si="41"/>
        <v>3574.4205096925025</v>
      </c>
      <c r="AP75" s="194">
        <f t="shared" si="41"/>
        <v>3628.0368173378897</v>
      </c>
      <c r="AQ75" s="194">
        <f t="shared" si="41"/>
        <v>3682.4573695979575</v>
      </c>
      <c r="AR75" s="194">
        <f t="shared" si="41"/>
        <v>3737.6942301419267</v>
      </c>
      <c r="AS75" s="194">
        <f t="shared" si="41"/>
        <v>3793.7596435940554</v>
      </c>
      <c r="AT75" s="194">
        <f t="shared" si="41"/>
        <v>3850.6660382479658</v>
      </c>
      <c r="AU75" s="194">
        <f t="shared" si="41"/>
        <v>3908.4260288216851</v>
      </c>
      <c r="AV75" s="194">
        <f t="shared" si="41"/>
        <v>3967.0524192540101</v>
      </c>
      <c r="AW75" s="194">
        <f t="shared" si="41"/>
        <v>4026.5582055428199</v>
      </c>
      <c r="AX75" s="194">
        <f t="shared" si="41"/>
        <v>4086.9565786259618</v>
      </c>
      <c r="AY75" s="194">
        <f t="shared" si="41"/>
        <v>4148.2609273053513</v>
      </c>
      <c r="AZ75" s="194">
        <f t="shared" si="41"/>
        <v>4210.4848412149313</v>
      </c>
      <c r="BA75" s="194">
        <f t="shared" si="41"/>
        <v>4273.6421138331552</v>
      </c>
      <c r="BB75" s="194">
        <f t="shared" si="41"/>
        <v>4337.7467455406522</v>
      </c>
      <c r="BC75" s="194">
        <f t="shared" si="41"/>
        <v>4402.8129467237613</v>
      </c>
      <c r="BD75" s="194">
        <f t="shared" si="41"/>
        <v>4468.8551409246174</v>
      </c>
    </row>
    <row r="76" spans="1:56" s="151" customFormat="1" ht="17" outlineLevel="1" thickBot="1" x14ac:dyDescent="0.3">
      <c r="A76" s="18" t="s">
        <v>365</v>
      </c>
      <c r="B76" s="158">
        <f t="shared" ref="B76:AG76" si="42">B67*$C$36</f>
        <v>0</v>
      </c>
      <c r="C76" s="158">
        <f t="shared" si="42"/>
        <v>0</v>
      </c>
      <c r="D76" s="158">
        <f t="shared" si="42"/>
        <v>0</v>
      </c>
      <c r="E76" s="158">
        <f t="shared" si="42"/>
        <v>0</v>
      </c>
      <c r="F76" s="158">
        <f t="shared" si="42"/>
        <v>0</v>
      </c>
      <c r="G76" s="158">
        <f t="shared" si="42"/>
        <v>0</v>
      </c>
      <c r="H76" s="158">
        <f t="shared" si="42"/>
        <v>0</v>
      </c>
      <c r="I76" s="158">
        <f t="shared" si="42"/>
        <v>46480.673474002579</v>
      </c>
      <c r="J76" s="158">
        <f t="shared" si="42"/>
        <v>49669.480612907028</v>
      </c>
      <c r="K76" s="158">
        <f t="shared" si="42"/>
        <v>52887.254148266024</v>
      </c>
      <c r="L76" s="158">
        <f t="shared" si="42"/>
        <v>56136.195606106863</v>
      </c>
      <c r="M76" s="158">
        <f t="shared" si="42"/>
        <v>60854.937146750119</v>
      </c>
      <c r="N76" s="158">
        <f t="shared" si="42"/>
        <v>65617.434661113963</v>
      </c>
      <c r="O76" s="158">
        <f t="shared" si="42"/>
        <v>70427.036395095201</v>
      </c>
      <c r="P76" s="158">
        <f t="shared" si="42"/>
        <v>75287.592831475122</v>
      </c>
      <c r="Q76" s="158">
        <f t="shared" si="42"/>
        <v>80203.532025452208</v>
      </c>
      <c r="R76" s="158">
        <f t="shared" si="42"/>
        <v>85179.946240504636</v>
      </c>
      <c r="S76" s="158">
        <f t="shared" si="42"/>
        <v>90222.691579632548</v>
      </c>
      <c r="T76" s="158">
        <f t="shared" si="42"/>
        <v>95338.50256128583</v>
      </c>
      <c r="U76" s="158">
        <f t="shared" si="42"/>
        <v>100535.12388168198</v>
      </c>
      <c r="V76" s="158">
        <f t="shared" si="42"/>
        <v>105821.46194147113</v>
      </c>
      <c r="W76" s="158">
        <f t="shared" si="42"/>
        <v>111207.75910140092</v>
      </c>
      <c r="X76" s="158">
        <f t="shared" si="42"/>
        <v>116705.79407633111</v>
      </c>
      <c r="Y76" s="158">
        <f t="shared" si="42"/>
        <v>123190.77263158395</v>
      </c>
      <c r="Z76" s="158">
        <f t="shared" si="42"/>
        <v>129820.89874120973</v>
      </c>
      <c r="AA76" s="158">
        <f t="shared" si="42"/>
        <v>136614.08635817081</v>
      </c>
      <c r="AB76" s="158">
        <f t="shared" si="42"/>
        <v>143591.1972124817</v>
      </c>
      <c r="AC76" s="158">
        <f t="shared" si="42"/>
        <v>150775.70222237936</v>
      </c>
      <c r="AD76" s="158">
        <f t="shared" si="42"/>
        <v>158194.85233100818</v>
      </c>
      <c r="AE76" s="158">
        <f t="shared" si="42"/>
        <v>165879.98612298435</v>
      </c>
      <c r="AF76" s="158">
        <f t="shared" si="42"/>
        <v>173867.14297061635</v>
      </c>
      <c r="AG76" s="158">
        <f t="shared" si="42"/>
        <v>182197.76815205894</v>
      </c>
      <c r="AH76" s="158">
        <f t="shared" ref="AH76:BD76" si="43">AH67*$C$36</f>
        <v>190919.52373719012</v>
      </c>
      <c r="AI76" s="158">
        <f t="shared" si="43"/>
        <v>200087.22110636963</v>
      </c>
      <c r="AJ76" s="158">
        <f t="shared" si="43"/>
        <v>209763.89334701109</v>
      </c>
      <c r="AK76" s="158">
        <f t="shared" si="43"/>
        <v>213959.17121395131</v>
      </c>
      <c r="AL76" s="158">
        <f t="shared" si="43"/>
        <v>218238.35463823035</v>
      </c>
      <c r="AM76" s="158">
        <f t="shared" si="43"/>
        <v>222603.12173099496</v>
      </c>
      <c r="AN76" s="158">
        <f t="shared" si="43"/>
        <v>227055.18416561489</v>
      </c>
      <c r="AO76" s="158">
        <f t="shared" si="43"/>
        <v>231596.2878489272</v>
      </c>
      <c r="AP76" s="158">
        <f t="shared" si="43"/>
        <v>236228.21360590574</v>
      </c>
      <c r="AQ76" s="158">
        <f t="shared" si="43"/>
        <v>240952.77787802386</v>
      </c>
      <c r="AR76" s="158">
        <f t="shared" si="43"/>
        <v>245771.83343558433</v>
      </c>
      <c r="AS76" s="158">
        <f t="shared" si="43"/>
        <v>250687.27010429604</v>
      </c>
      <c r="AT76" s="158">
        <f t="shared" si="43"/>
        <v>255701.01550638195</v>
      </c>
      <c r="AU76" s="158">
        <f t="shared" si="43"/>
        <v>260815.0358165096</v>
      </c>
      <c r="AV76" s="158">
        <f t="shared" si="43"/>
        <v>266031.33653283981</v>
      </c>
      <c r="AW76" s="158">
        <f t="shared" si="43"/>
        <v>271351.96326349658</v>
      </c>
      <c r="AX76" s="158">
        <f t="shared" si="43"/>
        <v>276779.00252876652</v>
      </c>
      <c r="AY76" s="158">
        <f t="shared" si="43"/>
        <v>282314.58257934183</v>
      </c>
      <c r="AZ76" s="158">
        <f t="shared" si="43"/>
        <v>287960.87423092872</v>
      </c>
      <c r="BA76" s="158">
        <f t="shared" si="43"/>
        <v>293720.09171554726</v>
      </c>
      <c r="BB76" s="158">
        <f t="shared" si="43"/>
        <v>299594.49354985822</v>
      </c>
      <c r="BC76" s="158">
        <f t="shared" si="43"/>
        <v>305586.38342085539</v>
      </c>
      <c r="BD76" s="158">
        <f t="shared" si="43"/>
        <v>311698.11108927248</v>
      </c>
    </row>
    <row r="77" spans="1:56" x14ac:dyDescent="0.25">
      <c r="A77" s="113" t="s">
        <v>248</v>
      </c>
      <c r="B77" s="191">
        <f>SUM(B72:B76)</f>
        <v>28432</v>
      </c>
      <c r="C77" s="191">
        <f t="shared" ref="C77:BD77" si="44">SUM(C72:C76)</f>
        <v>28462</v>
      </c>
      <c r="D77" s="191">
        <f t="shared" si="44"/>
        <v>28492.45</v>
      </c>
      <c r="E77" s="191">
        <f t="shared" si="44"/>
        <v>28523.356749999999</v>
      </c>
      <c r="F77" s="191">
        <f t="shared" si="44"/>
        <v>28554.727101249999</v>
      </c>
      <c r="G77" s="191">
        <f t="shared" si="44"/>
        <v>13025.568007768748</v>
      </c>
      <c r="H77" s="191">
        <f t="shared" si="44"/>
        <v>13057.886527885279</v>
      </c>
      <c r="I77" s="191">
        <f t="shared" si="44"/>
        <v>63700.363299806137</v>
      </c>
      <c r="J77" s="191">
        <f t="shared" si="44"/>
        <v>66922.465786097644</v>
      </c>
      <c r="K77" s="191">
        <f t="shared" si="44"/>
        <v>70174.034099054494</v>
      </c>
      <c r="L77" s="191">
        <f t="shared" si="44"/>
        <v>73457.277256157162</v>
      </c>
      <c r="M77" s="191">
        <f t="shared" si="44"/>
        <v>78210.835021551175</v>
      </c>
      <c r="N77" s="191">
        <f t="shared" si="44"/>
        <v>83008.671004037024</v>
      </c>
      <c r="O77" s="191">
        <f t="shared" si="44"/>
        <v>87854.141283162113</v>
      </c>
      <c r="P77" s="191">
        <f t="shared" si="44"/>
        <v>92751.104292863034</v>
      </c>
      <c r="Q77" s="191">
        <f t="shared" si="44"/>
        <v>97703.996158760943</v>
      </c>
      <c r="R77" s="191">
        <f t="shared" si="44"/>
        <v>102717.91733581301</v>
      </c>
      <c r="S77" s="191">
        <f t="shared" si="44"/>
        <v>107798.73224137054</v>
      </c>
      <c r="T77" s="191">
        <f t="shared" si="44"/>
        <v>112953.18383294989</v>
      </c>
      <c r="U77" s="191">
        <f t="shared" si="44"/>
        <v>118189.02537242101</v>
      </c>
      <c r="V77" s="191">
        <f t="shared" si="44"/>
        <v>123515.17195457124</v>
      </c>
      <c r="W77" s="191">
        <f t="shared" si="44"/>
        <v>128941.87476469754</v>
      </c>
      <c r="X77" s="191">
        <f t="shared" si="44"/>
        <v>134480.92147457716</v>
      </c>
      <c r="Y77" s="191">
        <f t="shared" si="44"/>
        <v>141007.52694080371</v>
      </c>
      <c r="Z77" s="191">
        <f t="shared" si="44"/>
        <v>147679.90436506778</v>
      </c>
      <c r="AA77" s="191">
        <f t="shared" si="44"/>
        <v>154515.97706638672</v>
      </c>
      <c r="AB77" s="191">
        <f t="shared" si="44"/>
        <v>161536.61628132086</v>
      </c>
      <c r="AC77" s="191">
        <f t="shared" si="44"/>
        <v>168765.3025772511</v>
      </c>
      <c r="AD77" s="191">
        <f t="shared" si="44"/>
        <v>176229.296691203</v>
      </c>
      <c r="AE77" s="191">
        <f t="shared" si="44"/>
        <v>183959.94714858208</v>
      </c>
      <c r="AF77" s="191">
        <f t="shared" si="44"/>
        <v>191993.30341159806</v>
      </c>
      <c r="AG77" s="191">
        <f t="shared" si="44"/>
        <v>200370.82099965538</v>
      </c>
      <c r="AH77" s="191">
        <f t="shared" si="44"/>
        <v>209140.17237750048</v>
      </c>
      <c r="AI77" s="191">
        <f t="shared" si="44"/>
        <v>218356.17947628465</v>
      </c>
      <c r="AJ77" s="191">
        <f t="shared" si="44"/>
        <v>228081.88609247486</v>
      </c>
      <c r="AK77" s="191">
        <f t="shared" si="44"/>
        <v>232326.93385059701</v>
      </c>
      <c r="AL77" s="191">
        <f t="shared" si="44"/>
        <v>236656.63371442573</v>
      </c>
      <c r="AM77" s="191">
        <f t="shared" si="44"/>
        <v>241072.67499333329</v>
      </c>
      <c r="AN77" s="191">
        <f t="shared" si="44"/>
        <v>245576.78072688828</v>
      </c>
      <c r="AO77" s="191">
        <f t="shared" si="44"/>
        <v>250170.70835861971</v>
      </c>
      <c r="AP77" s="191">
        <f t="shared" si="44"/>
        <v>254856.25042324362</v>
      </c>
      <c r="AQ77" s="191">
        <f t="shared" si="44"/>
        <v>259635.23524762181</v>
      </c>
      <c r="AR77" s="191">
        <f t="shared" si="44"/>
        <v>264509.52766572626</v>
      </c>
      <c r="AS77" s="191">
        <f t="shared" si="44"/>
        <v>269481.02974789008</v>
      </c>
      <c r="AT77" s="191">
        <f t="shared" si="44"/>
        <v>274551.68154462992</v>
      </c>
      <c r="AU77" s="191">
        <f t="shared" si="44"/>
        <v>279723.4618453313</v>
      </c>
      <c r="AV77" s="191">
        <f t="shared" si="44"/>
        <v>284998.38895209384</v>
      </c>
      <c r="AW77" s="191">
        <f t="shared" si="44"/>
        <v>290378.52146903938</v>
      </c>
      <c r="AX77" s="191">
        <f t="shared" si="44"/>
        <v>295865.95910739247</v>
      </c>
      <c r="AY77" s="191">
        <f t="shared" si="44"/>
        <v>301462.84350664716</v>
      </c>
      <c r="AZ77" s="191">
        <f t="shared" si="44"/>
        <v>307171.35907214368</v>
      </c>
      <c r="BA77" s="191">
        <f t="shared" si="44"/>
        <v>312993.73382938042</v>
      </c>
      <c r="BB77" s="191">
        <f t="shared" si="44"/>
        <v>318932.24029539886</v>
      </c>
      <c r="BC77" s="191">
        <f t="shared" si="44"/>
        <v>324989.19636757916</v>
      </c>
      <c r="BD77" s="191">
        <f t="shared" si="44"/>
        <v>331166.96623019711</v>
      </c>
    </row>
    <row r="78" spans="1:56" x14ac:dyDescent="0.25">
      <c r="A78" s="129" t="s">
        <v>626</v>
      </c>
      <c r="B78" s="229">
        <f>B77-B72-B73</f>
        <v>2000</v>
      </c>
      <c r="C78" s="229">
        <f t="shared" ref="C78:BD78" si="45">C77-C72-C73</f>
        <v>2030</v>
      </c>
      <c r="D78" s="229">
        <f t="shared" si="45"/>
        <v>2060.4500000000007</v>
      </c>
      <c r="E78" s="229">
        <f t="shared" si="45"/>
        <v>2091.356749999999</v>
      </c>
      <c r="F78" s="229">
        <f t="shared" si="45"/>
        <v>2122.7271012499987</v>
      </c>
      <c r="G78" s="229">
        <f t="shared" si="45"/>
        <v>2154.5680077687484</v>
      </c>
      <c r="H78" s="229">
        <f t="shared" si="45"/>
        <v>2186.8865278852791</v>
      </c>
      <c r="I78" s="229">
        <f t="shared" si="45"/>
        <v>63700.363299806137</v>
      </c>
      <c r="J78" s="229">
        <f t="shared" si="45"/>
        <v>66922.465786097644</v>
      </c>
      <c r="K78" s="229">
        <f t="shared" si="45"/>
        <v>70174.034099054494</v>
      </c>
      <c r="L78" s="229">
        <f t="shared" si="45"/>
        <v>73457.277256157162</v>
      </c>
      <c r="M78" s="229">
        <f t="shared" si="45"/>
        <v>78210.835021551175</v>
      </c>
      <c r="N78" s="229">
        <f t="shared" si="45"/>
        <v>83008.671004037024</v>
      </c>
      <c r="O78" s="229">
        <f t="shared" si="45"/>
        <v>87854.141283162113</v>
      </c>
      <c r="P78" s="229">
        <f t="shared" si="45"/>
        <v>92751.104292863034</v>
      </c>
      <c r="Q78" s="229">
        <f t="shared" si="45"/>
        <v>97703.996158760943</v>
      </c>
      <c r="R78" s="229">
        <f t="shared" si="45"/>
        <v>102717.91733581301</v>
      </c>
      <c r="S78" s="229">
        <f t="shared" si="45"/>
        <v>107798.73224137054</v>
      </c>
      <c r="T78" s="229">
        <f t="shared" si="45"/>
        <v>112953.18383294989</v>
      </c>
      <c r="U78" s="229">
        <f t="shared" si="45"/>
        <v>118189.02537242101</v>
      </c>
      <c r="V78" s="229">
        <f t="shared" si="45"/>
        <v>123515.17195457124</v>
      </c>
      <c r="W78" s="229">
        <f t="shared" si="45"/>
        <v>128941.87476469754</v>
      </c>
      <c r="X78" s="229">
        <f t="shared" si="45"/>
        <v>134480.92147457716</v>
      </c>
      <c r="Y78" s="229">
        <f t="shared" si="45"/>
        <v>141007.52694080371</v>
      </c>
      <c r="Z78" s="229">
        <f t="shared" si="45"/>
        <v>147679.90436506778</v>
      </c>
      <c r="AA78" s="229">
        <f t="shared" si="45"/>
        <v>154515.97706638672</v>
      </c>
      <c r="AB78" s="229">
        <f t="shared" si="45"/>
        <v>161536.61628132086</v>
      </c>
      <c r="AC78" s="229">
        <f t="shared" si="45"/>
        <v>168765.3025772511</v>
      </c>
      <c r="AD78" s="229">
        <f t="shared" si="45"/>
        <v>176229.296691203</v>
      </c>
      <c r="AE78" s="229">
        <f t="shared" si="45"/>
        <v>183959.94714858208</v>
      </c>
      <c r="AF78" s="229">
        <f t="shared" si="45"/>
        <v>191993.30341159806</v>
      </c>
      <c r="AG78" s="229">
        <f t="shared" si="45"/>
        <v>200370.82099965538</v>
      </c>
      <c r="AH78" s="229">
        <f t="shared" si="45"/>
        <v>209140.17237750048</v>
      </c>
      <c r="AI78" s="229">
        <f t="shared" si="45"/>
        <v>218356.17947628465</v>
      </c>
      <c r="AJ78" s="229">
        <f t="shared" si="45"/>
        <v>228081.88609247486</v>
      </c>
      <c r="AK78" s="229">
        <f t="shared" si="45"/>
        <v>232326.93385059701</v>
      </c>
      <c r="AL78" s="229">
        <f t="shared" si="45"/>
        <v>236656.63371442573</v>
      </c>
      <c r="AM78" s="229">
        <f t="shared" si="45"/>
        <v>241072.67499333329</v>
      </c>
      <c r="AN78" s="229">
        <f t="shared" si="45"/>
        <v>245576.78072688828</v>
      </c>
      <c r="AO78" s="229">
        <f t="shared" si="45"/>
        <v>250170.70835861971</v>
      </c>
      <c r="AP78" s="229">
        <f t="shared" si="45"/>
        <v>254856.25042324362</v>
      </c>
      <c r="AQ78" s="229">
        <f t="shared" si="45"/>
        <v>259635.23524762181</v>
      </c>
      <c r="AR78" s="229">
        <f t="shared" si="45"/>
        <v>264509.52766572626</v>
      </c>
      <c r="AS78" s="229">
        <f t="shared" si="45"/>
        <v>269481.02974789008</v>
      </c>
      <c r="AT78" s="229">
        <f t="shared" si="45"/>
        <v>274551.68154462992</v>
      </c>
      <c r="AU78" s="229">
        <f t="shared" si="45"/>
        <v>279723.4618453313</v>
      </c>
      <c r="AV78" s="229">
        <f t="shared" si="45"/>
        <v>284998.38895209384</v>
      </c>
      <c r="AW78" s="229">
        <f t="shared" si="45"/>
        <v>290378.52146903938</v>
      </c>
      <c r="AX78" s="229">
        <f t="shared" si="45"/>
        <v>295865.95910739247</v>
      </c>
      <c r="AY78" s="229">
        <f t="shared" si="45"/>
        <v>301462.84350664716</v>
      </c>
      <c r="AZ78" s="229">
        <f t="shared" si="45"/>
        <v>307171.35907214368</v>
      </c>
      <c r="BA78" s="229">
        <f t="shared" si="45"/>
        <v>312993.73382938042</v>
      </c>
      <c r="BB78" s="229">
        <f t="shared" si="45"/>
        <v>318932.24029539886</v>
      </c>
      <c r="BC78" s="229">
        <f t="shared" si="45"/>
        <v>324989.19636757916</v>
      </c>
      <c r="BD78" s="229">
        <f t="shared" si="45"/>
        <v>331166.96623019711</v>
      </c>
    </row>
    <row r="80" spans="1:56" x14ac:dyDescent="0.25">
      <c r="A80" s="3" t="s">
        <v>56</v>
      </c>
      <c r="B80" s="131">
        <f>B71</f>
        <v>44593</v>
      </c>
      <c r="C80" s="131">
        <f t="shared" ref="C80:BD80" si="46">C71</f>
        <v>44624</v>
      </c>
      <c r="D80" s="131">
        <f t="shared" si="46"/>
        <v>44655</v>
      </c>
      <c r="E80" s="131">
        <f t="shared" si="46"/>
        <v>44686</v>
      </c>
      <c r="F80" s="131">
        <f t="shared" si="46"/>
        <v>44717</v>
      </c>
      <c r="G80" s="131">
        <f t="shared" si="46"/>
        <v>44748</v>
      </c>
      <c r="H80" s="131">
        <f t="shared" si="46"/>
        <v>44779</v>
      </c>
      <c r="I80" s="131">
        <f t="shared" si="46"/>
        <v>44810</v>
      </c>
      <c r="J80" s="131">
        <f t="shared" si="46"/>
        <v>44841</v>
      </c>
      <c r="K80" s="131">
        <f t="shared" si="46"/>
        <v>44872</v>
      </c>
      <c r="L80" s="131">
        <f t="shared" si="46"/>
        <v>44903</v>
      </c>
      <c r="M80" s="131">
        <f t="shared" si="46"/>
        <v>44934</v>
      </c>
      <c r="N80" s="131">
        <f t="shared" si="46"/>
        <v>44965</v>
      </c>
      <c r="O80" s="131">
        <f t="shared" si="46"/>
        <v>44996</v>
      </c>
      <c r="P80" s="131">
        <f t="shared" si="46"/>
        <v>45027</v>
      </c>
      <c r="Q80" s="131">
        <f t="shared" si="46"/>
        <v>45058</v>
      </c>
      <c r="R80" s="131">
        <f t="shared" si="46"/>
        <v>45089</v>
      </c>
      <c r="S80" s="131">
        <f t="shared" si="46"/>
        <v>45120</v>
      </c>
      <c r="T80" s="131">
        <f t="shared" si="46"/>
        <v>45151</v>
      </c>
      <c r="U80" s="131">
        <f t="shared" si="46"/>
        <v>45182</v>
      </c>
      <c r="V80" s="131">
        <f t="shared" si="46"/>
        <v>45213</v>
      </c>
      <c r="W80" s="131">
        <f t="shared" si="46"/>
        <v>45244</v>
      </c>
      <c r="X80" s="131">
        <f t="shared" si="46"/>
        <v>45275</v>
      </c>
      <c r="Y80" s="131">
        <f t="shared" si="46"/>
        <v>45306</v>
      </c>
      <c r="Z80" s="131">
        <f t="shared" si="46"/>
        <v>45337</v>
      </c>
      <c r="AA80" s="131">
        <f t="shared" si="46"/>
        <v>45368</v>
      </c>
      <c r="AB80" s="131">
        <f t="shared" si="46"/>
        <v>45399</v>
      </c>
      <c r="AC80" s="131">
        <f t="shared" si="46"/>
        <v>45430</v>
      </c>
      <c r="AD80" s="131">
        <f t="shared" si="46"/>
        <v>45461</v>
      </c>
      <c r="AE80" s="131">
        <f t="shared" si="46"/>
        <v>45492</v>
      </c>
      <c r="AF80" s="131">
        <f t="shared" si="46"/>
        <v>45523</v>
      </c>
      <c r="AG80" s="131">
        <f t="shared" si="46"/>
        <v>45554</v>
      </c>
      <c r="AH80" s="131">
        <f t="shared" si="46"/>
        <v>45585</v>
      </c>
      <c r="AI80" s="131">
        <f t="shared" si="46"/>
        <v>45616</v>
      </c>
      <c r="AJ80" s="131">
        <f t="shared" si="46"/>
        <v>45647</v>
      </c>
      <c r="AK80" s="131">
        <f t="shared" si="46"/>
        <v>45678</v>
      </c>
      <c r="AL80" s="131">
        <f t="shared" si="46"/>
        <v>45709</v>
      </c>
      <c r="AM80" s="131">
        <f t="shared" si="46"/>
        <v>45740</v>
      </c>
      <c r="AN80" s="131">
        <f t="shared" si="46"/>
        <v>45771</v>
      </c>
      <c r="AO80" s="131">
        <f t="shared" si="46"/>
        <v>45802</v>
      </c>
      <c r="AP80" s="131">
        <f t="shared" si="46"/>
        <v>45833</v>
      </c>
      <c r="AQ80" s="131">
        <f t="shared" si="46"/>
        <v>45864</v>
      </c>
      <c r="AR80" s="131">
        <f t="shared" si="46"/>
        <v>45895</v>
      </c>
      <c r="AS80" s="131">
        <f t="shared" si="46"/>
        <v>45926</v>
      </c>
      <c r="AT80" s="131">
        <f t="shared" si="46"/>
        <v>45957</v>
      </c>
      <c r="AU80" s="131">
        <f t="shared" si="46"/>
        <v>45988</v>
      </c>
      <c r="AV80" s="131">
        <f t="shared" si="46"/>
        <v>46019</v>
      </c>
      <c r="AW80" s="131">
        <f t="shared" si="46"/>
        <v>46050</v>
      </c>
      <c r="AX80" s="131">
        <f t="shared" si="46"/>
        <v>46081</v>
      </c>
      <c r="AY80" s="131">
        <f t="shared" si="46"/>
        <v>46112</v>
      </c>
      <c r="AZ80" s="131">
        <f t="shared" si="46"/>
        <v>46143</v>
      </c>
      <c r="BA80" s="131">
        <f t="shared" si="46"/>
        <v>46174</v>
      </c>
      <c r="BB80" s="131">
        <f t="shared" si="46"/>
        <v>46205</v>
      </c>
      <c r="BC80" s="131">
        <f t="shared" si="46"/>
        <v>46236</v>
      </c>
      <c r="BD80" s="131">
        <f t="shared" si="46"/>
        <v>46267</v>
      </c>
    </row>
    <row r="81" spans="1:56" outlineLevel="1" x14ac:dyDescent="0.25">
      <c r="A81" s="18" t="s">
        <v>249</v>
      </c>
      <c r="B81" s="114">
        <f t="shared" ref="B81:M81" si="47">B67</f>
        <v>0</v>
      </c>
      <c r="C81" s="114">
        <f t="shared" si="47"/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92961.346948005157</v>
      </c>
      <c r="J81" s="114">
        <f t="shared" si="47"/>
        <v>99338.961225814055</v>
      </c>
      <c r="K81" s="114">
        <f t="shared" si="47"/>
        <v>105774.50829653205</v>
      </c>
      <c r="L81" s="114">
        <f t="shared" si="47"/>
        <v>112272.39121221373</v>
      </c>
      <c r="M81" s="114">
        <f t="shared" si="47"/>
        <v>121709.87429350024</v>
      </c>
      <c r="N81" s="114">
        <f t="shared" ref="N81:BD81" si="48">N67</f>
        <v>131234.86932222793</v>
      </c>
      <c r="O81" s="114">
        <f t="shared" si="48"/>
        <v>140854.0727901904</v>
      </c>
      <c r="P81" s="114">
        <f t="shared" si="48"/>
        <v>150575.18566295024</v>
      </c>
      <c r="Q81" s="114">
        <f t="shared" si="48"/>
        <v>160407.06405090442</v>
      </c>
      <c r="R81" s="114">
        <f t="shared" si="48"/>
        <v>170359.89248100927</v>
      </c>
      <c r="S81" s="114">
        <f t="shared" si="48"/>
        <v>180445.3831592651</v>
      </c>
      <c r="T81" s="114">
        <f t="shared" si="48"/>
        <v>190677.00512257166</v>
      </c>
      <c r="U81" s="114">
        <f t="shared" si="48"/>
        <v>201070.24776336396</v>
      </c>
      <c r="V81" s="114">
        <f t="shared" si="48"/>
        <v>211642.92388294227</v>
      </c>
      <c r="W81" s="114">
        <f t="shared" si="48"/>
        <v>222415.51820280185</v>
      </c>
      <c r="X81" s="114">
        <f t="shared" si="48"/>
        <v>233411.58815266221</v>
      </c>
      <c r="Y81" s="114">
        <f t="shared" si="48"/>
        <v>246381.54526316791</v>
      </c>
      <c r="Z81" s="114">
        <f t="shared" si="48"/>
        <v>259641.79748241947</v>
      </c>
      <c r="AA81" s="114">
        <f t="shared" si="48"/>
        <v>273228.17271634162</v>
      </c>
      <c r="AB81" s="114">
        <f t="shared" si="48"/>
        <v>287182.39442496339</v>
      </c>
      <c r="AC81" s="114">
        <f t="shared" si="48"/>
        <v>301551.40444475872</v>
      </c>
      <c r="AD81" s="114">
        <f t="shared" si="48"/>
        <v>316389.70466201636</v>
      </c>
      <c r="AE81" s="114">
        <f t="shared" si="48"/>
        <v>331759.9722459687</v>
      </c>
      <c r="AF81" s="114">
        <f t="shared" si="48"/>
        <v>347734.28594123269</v>
      </c>
      <c r="AG81" s="114">
        <f t="shared" si="48"/>
        <v>364395.53630411788</v>
      </c>
      <c r="AH81" s="114">
        <f t="shared" si="48"/>
        <v>381839.04747438023</v>
      </c>
      <c r="AI81" s="114">
        <f t="shared" si="48"/>
        <v>400174.44221273926</v>
      </c>
      <c r="AJ81" s="114">
        <f t="shared" si="48"/>
        <v>419527.78669402219</v>
      </c>
      <c r="AK81" s="114">
        <f t="shared" si="48"/>
        <v>427918.34242790262</v>
      </c>
      <c r="AL81" s="114">
        <f t="shared" si="48"/>
        <v>436476.70927646069</v>
      </c>
      <c r="AM81" s="114">
        <f t="shared" si="48"/>
        <v>445206.24346198991</v>
      </c>
      <c r="AN81" s="114">
        <f t="shared" si="48"/>
        <v>454110.36833122978</v>
      </c>
      <c r="AO81" s="114">
        <f t="shared" si="48"/>
        <v>463192.57569785439</v>
      </c>
      <c r="AP81" s="114">
        <f t="shared" si="48"/>
        <v>472456.42721181147</v>
      </c>
      <c r="AQ81" s="114">
        <f t="shared" si="48"/>
        <v>481905.55575604772</v>
      </c>
      <c r="AR81" s="114">
        <f t="shared" si="48"/>
        <v>491543.66687116865</v>
      </c>
      <c r="AS81" s="114">
        <f t="shared" si="48"/>
        <v>501374.54020859208</v>
      </c>
      <c r="AT81" s="114">
        <f t="shared" si="48"/>
        <v>511402.03101276391</v>
      </c>
      <c r="AU81" s="114">
        <f t="shared" si="48"/>
        <v>521630.07163301919</v>
      </c>
      <c r="AV81" s="114">
        <f t="shared" si="48"/>
        <v>532062.67306567961</v>
      </c>
      <c r="AW81" s="114">
        <f t="shared" si="48"/>
        <v>542703.92652699316</v>
      </c>
      <c r="AX81" s="114">
        <f t="shared" si="48"/>
        <v>553558.00505753304</v>
      </c>
      <c r="AY81" s="114">
        <f t="shared" si="48"/>
        <v>564629.16515868367</v>
      </c>
      <c r="AZ81" s="114">
        <f t="shared" si="48"/>
        <v>575921.74846185744</v>
      </c>
      <c r="BA81" s="114">
        <f t="shared" si="48"/>
        <v>587440.18343109451</v>
      </c>
      <c r="BB81" s="114">
        <f t="shared" si="48"/>
        <v>599188.98709971644</v>
      </c>
      <c r="BC81" s="114">
        <f t="shared" si="48"/>
        <v>611172.76684171078</v>
      </c>
      <c r="BD81" s="114">
        <f t="shared" si="48"/>
        <v>623396.22217854497</v>
      </c>
    </row>
    <row r="82" spans="1:56" ht="17" outlineLevel="1" thickBot="1" x14ac:dyDescent="0.3">
      <c r="A82" s="18" t="s">
        <v>112</v>
      </c>
      <c r="B82" s="114">
        <f t="shared" ref="B82:M82" si="49">B77</f>
        <v>28432</v>
      </c>
      <c r="C82" s="114">
        <f t="shared" si="49"/>
        <v>28462</v>
      </c>
      <c r="D82" s="114">
        <f t="shared" si="49"/>
        <v>28492.45</v>
      </c>
      <c r="E82" s="114">
        <f t="shared" si="49"/>
        <v>28523.356749999999</v>
      </c>
      <c r="F82" s="114">
        <f t="shared" si="49"/>
        <v>28554.727101249999</v>
      </c>
      <c r="G82" s="114">
        <f t="shared" si="49"/>
        <v>13025.568007768748</v>
      </c>
      <c r="H82" s="114">
        <f t="shared" si="49"/>
        <v>13057.886527885279</v>
      </c>
      <c r="I82" s="114">
        <f t="shared" si="49"/>
        <v>63700.363299806137</v>
      </c>
      <c r="J82" s="114">
        <f t="shared" si="49"/>
        <v>66922.465786097644</v>
      </c>
      <c r="K82" s="114">
        <f t="shared" si="49"/>
        <v>70174.034099054494</v>
      </c>
      <c r="L82" s="114">
        <f t="shared" si="49"/>
        <v>73457.277256157162</v>
      </c>
      <c r="M82" s="114">
        <f t="shared" si="49"/>
        <v>78210.835021551175</v>
      </c>
      <c r="N82" s="114">
        <f t="shared" ref="N82:BD82" si="50">N77</f>
        <v>83008.671004037024</v>
      </c>
      <c r="O82" s="114">
        <f t="shared" si="50"/>
        <v>87854.141283162113</v>
      </c>
      <c r="P82" s="114">
        <f t="shared" si="50"/>
        <v>92751.104292863034</v>
      </c>
      <c r="Q82" s="114">
        <f t="shared" si="50"/>
        <v>97703.996158760943</v>
      </c>
      <c r="R82" s="114">
        <f t="shared" si="50"/>
        <v>102717.91733581301</v>
      </c>
      <c r="S82" s="114">
        <f t="shared" si="50"/>
        <v>107798.73224137054</v>
      </c>
      <c r="T82" s="114">
        <f t="shared" si="50"/>
        <v>112953.18383294989</v>
      </c>
      <c r="U82" s="114">
        <f t="shared" si="50"/>
        <v>118189.02537242101</v>
      </c>
      <c r="V82" s="114">
        <f t="shared" si="50"/>
        <v>123515.17195457124</v>
      </c>
      <c r="W82" s="114">
        <f t="shared" si="50"/>
        <v>128941.87476469754</v>
      </c>
      <c r="X82" s="114">
        <f t="shared" si="50"/>
        <v>134480.92147457716</v>
      </c>
      <c r="Y82" s="114">
        <f t="shared" si="50"/>
        <v>141007.52694080371</v>
      </c>
      <c r="Z82" s="114">
        <f t="shared" si="50"/>
        <v>147679.90436506778</v>
      </c>
      <c r="AA82" s="114">
        <f t="shared" si="50"/>
        <v>154515.97706638672</v>
      </c>
      <c r="AB82" s="114">
        <f t="shared" si="50"/>
        <v>161536.61628132086</v>
      </c>
      <c r="AC82" s="114">
        <f t="shared" si="50"/>
        <v>168765.3025772511</v>
      </c>
      <c r="AD82" s="114">
        <f t="shared" si="50"/>
        <v>176229.296691203</v>
      </c>
      <c r="AE82" s="114">
        <f t="shared" si="50"/>
        <v>183959.94714858208</v>
      </c>
      <c r="AF82" s="114">
        <f t="shared" si="50"/>
        <v>191993.30341159806</v>
      </c>
      <c r="AG82" s="114">
        <f t="shared" si="50"/>
        <v>200370.82099965538</v>
      </c>
      <c r="AH82" s="114">
        <f t="shared" si="50"/>
        <v>209140.17237750048</v>
      </c>
      <c r="AI82" s="114">
        <f t="shared" si="50"/>
        <v>218356.17947628465</v>
      </c>
      <c r="AJ82" s="114">
        <f t="shared" si="50"/>
        <v>228081.88609247486</v>
      </c>
      <c r="AK82" s="114">
        <f t="shared" si="50"/>
        <v>232326.93385059701</v>
      </c>
      <c r="AL82" s="114">
        <f t="shared" si="50"/>
        <v>236656.63371442573</v>
      </c>
      <c r="AM82" s="114">
        <f t="shared" si="50"/>
        <v>241072.67499333329</v>
      </c>
      <c r="AN82" s="114">
        <f t="shared" si="50"/>
        <v>245576.78072688828</v>
      </c>
      <c r="AO82" s="114">
        <f t="shared" si="50"/>
        <v>250170.70835861971</v>
      </c>
      <c r="AP82" s="114">
        <f t="shared" si="50"/>
        <v>254856.25042324362</v>
      </c>
      <c r="AQ82" s="114">
        <f t="shared" si="50"/>
        <v>259635.23524762181</v>
      </c>
      <c r="AR82" s="114">
        <f t="shared" si="50"/>
        <v>264509.52766572626</v>
      </c>
      <c r="AS82" s="114">
        <f t="shared" si="50"/>
        <v>269481.02974789008</v>
      </c>
      <c r="AT82" s="114">
        <f t="shared" si="50"/>
        <v>274551.68154462992</v>
      </c>
      <c r="AU82" s="114">
        <f t="shared" si="50"/>
        <v>279723.4618453313</v>
      </c>
      <c r="AV82" s="114">
        <f t="shared" si="50"/>
        <v>284998.38895209384</v>
      </c>
      <c r="AW82" s="114">
        <f t="shared" si="50"/>
        <v>290378.52146903938</v>
      </c>
      <c r="AX82" s="114">
        <f t="shared" si="50"/>
        <v>295865.95910739247</v>
      </c>
      <c r="AY82" s="114">
        <f t="shared" si="50"/>
        <v>301462.84350664716</v>
      </c>
      <c r="AZ82" s="114">
        <f t="shared" si="50"/>
        <v>307171.35907214368</v>
      </c>
      <c r="BA82" s="114">
        <f t="shared" si="50"/>
        <v>312993.73382938042</v>
      </c>
      <c r="BB82" s="114">
        <f t="shared" si="50"/>
        <v>318932.24029539886</v>
      </c>
      <c r="BC82" s="114">
        <f t="shared" si="50"/>
        <v>324989.19636757916</v>
      </c>
      <c r="BD82" s="114">
        <f t="shared" si="50"/>
        <v>331166.96623019711</v>
      </c>
    </row>
    <row r="83" spans="1:56" x14ac:dyDescent="0.25">
      <c r="A83" s="113" t="s">
        <v>250</v>
      </c>
      <c r="B83" s="120">
        <f>B81-B82</f>
        <v>-28432</v>
      </c>
      <c r="C83" s="120">
        <f t="shared" ref="C83:BD83" si="51">C81-C82</f>
        <v>-28462</v>
      </c>
      <c r="D83" s="120">
        <f t="shared" si="51"/>
        <v>-28492.45</v>
      </c>
      <c r="E83" s="120">
        <f t="shared" si="51"/>
        <v>-28523.356749999999</v>
      </c>
      <c r="F83" s="120">
        <f t="shared" si="51"/>
        <v>-28554.727101249999</v>
      </c>
      <c r="G83" s="120">
        <f t="shared" si="51"/>
        <v>-13025.568007768748</v>
      </c>
      <c r="H83" s="120">
        <f t="shared" si="51"/>
        <v>-13057.886527885279</v>
      </c>
      <c r="I83" s="120">
        <f t="shared" si="51"/>
        <v>29260.983648199021</v>
      </c>
      <c r="J83" s="120">
        <f t="shared" si="51"/>
        <v>32416.495439716411</v>
      </c>
      <c r="K83" s="120">
        <f t="shared" si="51"/>
        <v>35600.474197477553</v>
      </c>
      <c r="L83" s="120">
        <f t="shared" si="51"/>
        <v>38815.113956056564</v>
      </c>
      <c r="M83" s="120">
        <f t="shared" si="51"/>
        <v>43499.039271949063</v>
      </c>
      <c r="N83" s="120">
        <f t="shared" si="51"/>
        <v>48226.198318190902</v>
      </c>
      <c r="O83" s="120">
        <f t="shared" si="51"/>
        <v>52999.93150702829</v>
      </c>
      <c r="P83" s="120">
        <f t="shared" si="51"/>
        <v>57824.08137008721</v>
      </c>
      <c r="Q83" s="120">
        <f t="shared" si="51"/>
        <v>62703.067892143474</v>
      </c>
      <c r="R83" s="120">
        <f t="shared" si="51"/>
        <v>67641.975145196266</v>
      </c>
      <c r="S83" s="120">
        <f t="shared" si="51"/>
        <v>72646.650917894556</v>
      </c>
      <c r="T83" s="120">
        <f t="shared" si="51"/>
        <v>77723.821289621774</v>
      </c>
      <c r="U83" s="120">
        <f t="shared" si="51"/>
        <v>82881.222390942959</v>
      </c>
      <c r="V83" s="120">
        <f t="shared" si="51"/>
        <v>88127.751928371028</v>
      </c>
      <c r="W83" s="120">
        <f t="shared" si="51"/>
        <v>93473.643438104307</v>
      </c>
      <c r="X83" s="120">
        <f t="shared" si="51"/>
        <v>98930.66667808505</v>
      </c>
      <c r="Y83" s="120">
        <f t="shared" si="51"/>
        <v>105374.01832236419</v>
      </c>
      <c r="Z83" s="120">
        <f t="shared" si="51"/>
        <v>111961.89311735169</v>
      </c>
      <c r="AA83" s="120">
        <f t="shared" si="51"/>
        <v>118712.1956499549</v>
      </c>
      <c r="AB83" s="120">
        <f t="shared" si="51"/>
        <v>125645.77814364253</v>
      </c>
      <c r="AC83" s="120">
        <f t="shared" si="51"/>
        <v>132786.10186750762</v>
      </c>
      <c r="AD83" s="120">
        <f t="shared" si="51"/>
        <v>140160.40797081336</v>
      </c>
      <c r="AE83" s="120">
        <f t="shared" si="51"/>
        <v>147800.02509738662</v>
      </c>
      <c r="AF83" s="120">
        <f t="shared" si="51"/>
        <v>155740.98252963464</v>
      </c>
      <c r="AG83" s="120">
        <f t="shared" si="51"/>
        <v>164024.7153044625</v>
      </c>
      <c r="AH83" s="120">
        <f t="shared" si="51"/>
        <v>172698.87509687975</v>
      </c>
      <c r="AI83" s="120">
        <f t="shared" si="51"/>
        <v>181818.26273645461</v>
      </c>
      <c r="AJ83" s="120">
        <f t="shared" si="51"/>
        <v>191445.90060154733</v>
      </c>
      <c r="AK83" s="120">
        <f t="shared" si="51"/>
        <v>195591.40857730561</v>
      </c>
      <c r="AL83" s="120">
        <f t="shared" si="51"/>
        <v>199820.07556203497</v>
      </c>
      <c r="AM83" s="120">
        <f t="shared" si="51"/>
        <v>204133.56846865662</v>
      </c>
      <c r="AN83" s="120">
        <f t="shared" si="51"/>
        <v>208533.5876043415</v>
      </c>
      <c r="AO83" s="120">
        <f t="shared" si="51"/>
        <v>213021.86733923468</v>
      </c>
      <c r="AP83" s="120">
        <f t="shared" si="51"/>
        <v>217600.17678856786</v>
      </c>
      <c r="AQ83" s="120">
        <f t="shared" si="51"/>
        <v>222270.32050842591</v>
      </c>
      <c r="AR83" s="120">
        <f t="shared" si="51"/>
        <v>227034.13920544239</v>
      </c>
      <c r="AS83" s="120">
        <f t="shared" si="51"/>
        <v>231893.510460702</v>
      </c>
      <c r="AT83" s="120">
        <f t="shared" si="51"/>
        <v>236850.34946813399</v>
      </c>
      <c r="AU83" s="120">
        <f t="shared" si="51"/>
        <v>241906.60978768789</v>
      </c>
      <c r="AV83" s="120">
        <f t="shared" si="51"/>
        <v>247064.28411358577</v>
      </c>
      <c r="AW83" s="120">
        <f t="shared" si="51"/>
        <v>252325.40505795379</v>
      </c>
      <c r="AX83" s="120">
        <f t="shared" si="51"/>
        <v>257692.04595014057</v>
      </c>
      <c r="AY83" s="120">
        <f t="shared" si="51"/>
        <v>263166.32165203651</v>
      </c>
      <c r="AZ83" s="120">
        <f t="shared" si="51"/>
        <v>268750.38938971376</v>
      </c>
      <c r="BA83" s="120">
        <f t="shared" si="51"/>
        <v>274446.44960171409</v>
      </c>
      <c r="BB83" s="120">
        <f t="shared" si="51"/>
        <v>280256.74680431758</v>
      </c>
      <c r="BC83" s="120">
        <f t="shared" si="51"/>
        <v>286183.57047413161</v>
      </c>
      <c r="BD83" s="120">
        <f t="shared" si="51"/>
        <v>292229.25594834785</v>
      </c>
    </row>
    <row r="84" spans="1:56" x14ac:dyDescent="0.25">
      <c r="A84" s="2" t="s">
        <v>251</v>
      </c>
      <c r="B84" s="132" t="e">
        <f>B83/B81</f>
        <v>#DIV/0!</v>
      </c>
      <c r="C84" s="132" t="e">
        <f t="shared" ref="C84:BD84" si="52">C83/C81</f>
        <v>#DIV/0!</v>
      </c>
      <c r="D84" s="132" t="e">
        <f t="shared" si="52"/>
        <v>#DIV/0!</v>
      </c>
      <c r="E84" s="132" t="e">
        <f t="shared" si="52"/>
        <v>#DIV/0!</v>
      </c>
      <c r="F84" s="132" t="e">
        <f t="shared" si="52"/>
        <v>#DIV/0!</v>
      </c>
      <c r="G84" s="132" t="e">
        <f t="shared" si="52"/>
        <v>#DIV/0!</v>
      </c>
      <c r="H84" s="132" t="e">
        <f t="shared" si="52"/>
        <v>#DIV/0!</v>
      </c>
      <c r="I84" s="132">
        <f t="shared" si="52"/>
        <v>0.31476505675595667</v>
      </c>
      <c r="J84" s="132">
        <f t="shared" si="52"/>
        <v>0.32632206980731659</v>
      </c>
      <c r="K84" s="132">
        <f t="shared" si="52"/>
        <v>0.33656950782199724</v>
      </c>
      <c r="L84" s="132">
        <f t="shared" si="52"/>
        <v>0.34572269760149194</v>
      </c>
      <c r="M84" s="132">
        <f t="shared" si="52"/>
        <v>0.35739942650053391</v>
      </c>
      <c r="N84" s="132">
        <f t="shared" si="52"/>
        <v>0.36748006507156694</v>
      </c>
      <c r="O84" s="132">
        <f t="shared" si="52"/>
        <v>0.37627546337246842</v>
      </c>
      <c r="P84" s="132">
        <f t="shared" si="52"/>
        <v>0.38402131875514667</v>
      </c>
      <c r="Q84" s="132">
        <f t="shared" si="52"/>
        <v>0.39089966681420563</v>
      </c>
      <c r="R84" s="132">
        <f t="shared" si="52"/>
        <v>0.39705340359226043</v>
      </c>
      <c r="S84" s="132">
        <f t="shared" si="52"/>
        <v>0.40259634048810777</v>
      </c>
      <c r="T84" s="132">
        <f t="shared" si="52"/>
        <v>0.40762031708888585</v>
      </c>
      <c r="U84" s="132">
        <f t="shared" si="52"/>
        <v>0.41220032955091601</v>
      </c>
      <c r="V84" s="132">
        <f t="shared" si="52"/>
        <v>0.41639829157299713</v>
      </c>
      <c r="W84" s="132">
        <f t="shared" si="52"/>
        <v>0.42026583483654956</v>
      </c>
      <c r="X84" s="132">
        <f t="shared" si="52"/>
        <v>0.42384642279791063</v>
      </c>
      <c r="Y84" s="132">
        <f t="shared" si="52"/>
        <v>0.42768632776375715</v>
      </c>
      <c r="Z84" s="132">
        <f t="shared" si="52"/>
        <v>0.4312167540163972</v>
      </c>
      <c r="AA84" s="132">
        <f t="shared" si="52"/>
        <v>0.43448007015440099</v>
      </c>
      <c r="AB84" s="132">
        <f t="shared" si="52"/>
        <v>0.43751211976356702</v>
      </c>
      <c r="AC84" s="132">
        <f t="shared" si="52"/>
        <v>0.4403431717123133</v>
      </c>
      <c r="AD84" s="132">
        <f t="shared" si="52"/>
        <v>0.44299926927312588</v>
      </c>
      <c r="AE84" s="132">
        <f t="shared" si="52"/>
        <v>0.44550288600761895</v>
      </c>
      <c r="AF84" s="132">
        <f t="shared" si="52"/>
        <v>0.44787353110171874</v>
      </c>
      <c r="AG84" s="132">
        <f t="shared" si="52"/>
        <v>0.45012822321613311</v>
      </c>
      <c r="AH84" s="132">
        <f t="shared" si="52"/>
        <v>0.45228186126896075</v>
      </c>
      <c r="AI84" s="132">
        <f t="shared" si="52"/>
        <v>0.45434751337717127</v>
      </c>
      <c r="AJ84" s="132">
        <f t="shared" si="52"/>
        <v>0.45633664008333308</v>
      </c>
      <c r="AK84" s="132">
        <f t="shared" si="52"/>
        <v>0.4570764774128831</v>
      </c>
      <c r="AL84" s="132">
        <f t="shared" si="52"/>
        <v>0.45780237826039555</v>
      </c>
      <c r="AM84" s="132">
        <f t="shared" si="52"/>
        <v>0.4585146130954581</v>
      </c>
      <c r="AN84" s="132">
        <f t="shared" si="52"/>
        <v>0.45921344709803308</v>
      </c>
      <c r="AO84" s="132">
        <f t="shared" si="52"/>
        <v>0.45989914026210815</v>
      </c>
      <c r="AP84" s="132">
        <f t="shared" si="52"/>
        <v>0.46057194749731584</v>
      </c>
      <c r="AQ84" s="132">
        <f t="shared" si="52"/>
        <v>0.46123211872855963</v>
      </c>
      <c r="AR84" s="132">
        <f t="shared" si="52"/>
        <v>0.46187989899368798</v>
      </c>
      <c r="AS84" s="132">
        <f t="shared" si="52"/>
        <v>0.46251552853925315</v>
      </c>
      <c r="AT84" s="132">
        <f t="shared" si="52"/>
        <v>0.46313924291439218</v>
      </c>
      <c r="AU84" s="132">
        <f t="shared" si="52"/>
        <v>0.4637512730628684</v>
      </c>
      <c r="AV84" s="132">
        <f t="shared" si="52"/>
        <v>0.46435184541330776</v>
      </c>
      <c r="AW84" s="132">
        <f t="shared" si="52"/>
        <v>0.46494118196766643</v>
      </c>
      <c r="AX84" s="132">
        <f t="shared" si="52"/>
        <v>0.46551950038796353</v>
      </c>
      <c r="AY84" s="132">
        <f t="shared" si="52"/>
        <v>0.46608701408131498</v>
      </c>
      <c r="AZ84" s="132">
        <f t="shared" si="52"/>
        <v>0.46664393228329831</v>
      </c>
      <c r="BA84" s="132">
        <f t="shared" si="52"/>
        <v>0.46719046013968513</v>
      </c>
      <c r="BB84" s="132">
        <f t="shared" si="52"/>
        <v>0.4677267987865697</v>
      </c>
      <c r="BC84" s="132">
        <f t="shared" si="52"/>
        <v>0.46825314542892754</v>
      </c>
      <c r="BD84" s="132">
        <f t="shared" si="52"/>
        <v>0.46876969341763414</v>
      </c>
    </row>
    <row r="86" spans="1:56" x14ac:dyDescent="0.25">
      <c r="A86" s="3" t="s">
        <v>400</v>
      </c>
      <c r="B86" s="131">
        <f>B80</f>
        <v>44593</v>
      </c>
      <c r="C86" s="131">
        <f t="shared" ref="C86:M86" si="53">C80</f>
        <v>44624</v>
      </c>
      <c r="D86" s="131">
        <f t="shared" si="53"/>
        <v>44655</v>
      </c>
      <c r="E86" s="131">
        <f t="shared" si="53"/>
        <v>44686</v>
      </c>
      <c r="F86" s="131">
        <f t="shared" si="53"/>
        <v>44717</v>
      </c>
      <c r="G86" s="131">
        <f t="shared" si="53"/>
        <v>44748</v>
      </c>
      <c r="H86" s="131">
        <f t="shared" si="53"/>
        <v>44779</v>
      </c>
      <c r="I86" s="131">
        <f t="shared" si="53"/>
        <v>44810</v>
      </c>
      <c r="J86" s="131">
        <f t="shared" si="53"/>
        <v>44841</v>
      </c>
      <c r="K86" s="131">
        <f t="shared" si="53"/>
        <v>44872</v>
      </c>
      <c r="L86" s="131">
        <f t="shared" si="53"/>
        <v>44903</v>
      </c>
      <c r="M86" s="131">
        <f t="shared" si="53"/>
        <v>44934</v>
      </c>
      <c r="N86" s="131">
        <f>M86+31</f>
        <v>44965</v>
      </c>
      <c r="O86" s="131">
        <f t="shared" ref="O86:BD86" si="54">N86+31</f>
        <v>44996</v>
      </c>
      <c r="P86" s="131">
        <f t="shared" si="54"/>
        <v>45027</v>
      </c>
      <c r="Q86" s="131">
        <f t="shared" si="54"/>
        <v>45058</v>
      </c>
      <c r="R86" s="131">
        <f t="shared" si="54"/>
        <v>45089</v>
      </c>
      <c r="S86" s="131">
        <f t="shared" si="54"/>
        <v>45120</v>
      </c>
      <c r="T86" s="131">
        <f t="shared" si="54"/>
        <v>45151</v>
      </c>
      <c r="U86" s="131">
        <f t="shared" si="54"/>
        <v>45182</v>
      </c>
      <c r="V86" s="131">
        <f t="shared" si="54"/>
        <v>45213</v>
      </c>
      <c r="W86" s="131">
        <f t="shared" si="54"/>
        <v>45244</v>
      </c>
      <c r="X86" s="131">
        <f t="shared" si="54"/>
        <v>45275</v>
      </c>
      <c r="Y86" s="131">
        <f t="shared" si="54"/>
        <v>45306</v>
      </c>
      <c r="Z86" s="131">
        <f t="shared" si="54"/>
        <v>45337</v>
      </c>
      <c r="AA86" s="131">
        <f t="shared" si="54"/>
        <v>45368</v>
      </c>
      <c r="AB86" s="131">
        <f t="shared" si="54"/>
        <v>45399</v>
      </c>
      <c r="AC86" s="131">
        <f t="shared" si="54"/>
        <v>45430</v>
      </c>
      <c r="AD86" s="131">
        <f t="shared" si="54"/>
        <v>45461</v>
      </c>
      <c r="AE86" s="131">
        <f t="shared" si="54"/>
        <v>45492</v>
      </c>
      <c r="AF86" s="131">
        <f t="shared" si="54"/>
        <v>45523</v>
      </c>
      <c r="AG86" s="131">
        <f t="shared" si="54"/>
        <v>45554</v>
      </c>
      <c r="AH86" s="131">
        <f t="shared" si="54"/>
        <v>45585</v>
      </c>
      <c r="AI86" s="131">
        <f t="shared" si="54"/>
        <v>45616</v>
      </c>
      <c r="AJ86" s="131">
        <f t="shared" si="54"/>
        <v>45647</v>
      </c>
      <c r="AK86" s="131">
        <f t="shared" si="54"/>
        <v>45678</v>
      </c>
      <c r="AL86" s="131">
        <f t="shared" si="54"/>
        <v>45709</v>
      </c>
      <c r="AM86" s="131">
        <f t="shared" si="54"/>
        <v>45740</v>
      </c>
      <c r="AN86" s="131">
        <f t="shared" si="54"/>
        <v>45771</v>
      </c>
      <c r="AO86" s="131">
        <f t="shared" si="54"/>
        <v>45802</v>
      </c>
      <c r="AP86" s="131">
        <f t="shared" si="54"/>
        <v>45833</v>
      </c>
      <c r="AQ86" s="131">
        <f t="shared" si="54"/>
        <v>45864</v>
      </c>
      <c r="AR86" s="131">
        <f t="shared" si="54"/>
        <v>45895</v>
      </c>
      <c r="AS86" s="131">
        <f t="shared" si="54"/>
        <v>45926</v>
      </c>
      <c r="AT86" s="131">
        <f t="shared" si="54"/>
        <v>45957</v>
      </c>
      <c r="AU86" s="131">
        <f t="shared" si="54"/>
        <v>45988</v>
      </c>
      <c r="AV86" s="131">
        <f t="shared" si="54"/>
        <v>46019</v>
      </c>
      <c r="AW86" s="131">
        <f t="shared" si="54"/>
        <v>46050</v>
      </c>
      <c r="AX86" s="131">
        <f t="shared" si="54"/>
        <v>46081</v>
      </c>
      <c r="AY86" s="131">
        <f t="shared" si="54"/>
        <v>46112</v>
      </c>
      <c r="AZ86" s="131">
        <f t="shared" si="54"/>
        <v>46143</v>
      </c>
      <c r="BA86" s="131">
        <f t="shared" si="54"/>
        <v>46174</v>
      </c>
      <c r="BB86" s="131">
        <f t="shared" si="54"/>
        <v>46205</v>
      </c>
      <c r="BC86" s="131">
        <f t="shared" si="54"/>
        <v>46236</v>
      </c>
      <c r="BD86" s="131">
        <f t="shared" si="54"/>
        <v>46267</v>
      </c>
    </row>
    <row r="87" spans="1:56" outlineLevel="1" x14ac:dyDescent="0.25">
      <c r="A87" s="18" t="s">
        <v>248</v>
      </c>
      <c r="B87" s="119">
        <f>B82</f>
        <v>28432</v>
      </c>
      <c r="C87" s="119">
        <f t="shared" ref="C87:M87" si="55">C82</f>
        <v>28462</v>
      </c>
      <c r="D87" s="119">
        <f t="shared" si="55"/>
        <v>28492.45</v>
      </c>
      <c r="E87" s="119">
        <f t="shared" si="55"/>
        <v>28523.356749999999</v>
      </c>
      <c r="F87" s="119">
        <f t="shared" si="55"/>
        <v>28554.727101249999</v>
      </c>
      <c r="G87" s="119">
        <f t="shared" si="55"/>
        <v>13025.568007768748</v>
      </c>
      <c r="H87" s="119">
        <f t="shared" si="55"/>
        <v>13057.886527885279</v>
      </c>
      <c r="I87" s="119">
        <f t="shared" si="55"/>
        <v>63700.363299806137</v>
      </c>
      <c r="J87" s="119">
        <f t="shared" si="55"/>
        <v>66922.465786097644</v>
      </c>
      <c r="K87" s="119">
        <f t="shared" si="55"/>
        <v>70174.034099054494</v>
      </c>
      <c r="L87" s="119">
        <f t="shared" si="55"/>
        <v>73457.277256157162</v>
      </c>
      <c r="M87" s="119">
        <f t="shared" si="55"/>
        <v>78210.835021551175</v>
      </c>
      <c r="N87" s="119">
        <f>M87*1.02</f>
        <v>79775.051721982192</v>
      </c>
      <c r="O87" s="119">
        <f t="shared" ref="O87:BD87" si="56">N87*1.02</f>
        <v>81370.552756421836</v>
      </c>
      <c r="P87" s="119">
        <f t="shared" si="56"/>
        <v>82997.963811550275</v>
      </c>
      <c r="Q87" s="119">
        <f t="shared" si="56"/>
        <v>84657.923087781281</v>
      </c>
      <c r="R87" s="119">
        <f t="shared" si="56"/>
        <v>86351.081549536902</v>
      </c>
      <c r="S87" s="119">
        <f t="shared" si="56"/>
        <v>88078.103180527643</v>
      </c>
      <c r="T87" s="119">
        <f t="shared" si="56"/>
        <v>89839.665244138203</v>
      </c>
      <c r="U87" s="119">
        <f t="shared" si="56"/>
        <v>91636.458549020972</v>
      </c>
      <c r="V87" s="119">
        <f t="shared" si="56"/>
        <v>93469.187720001399</v>
      </c>
      <c r="W87" s="119">
        <f t="shared" si="56"/>
        <v>95338.571474401426</v>
      </c>
      <c r="X87" s="119">
        <f t="shared" si="56"/>
        <v>97245.342903889454</v>
      </c>
      <c r="Y87" s="119">
        <f t="shared" si="56"/>
        <v>99190.24976196725</v>
      </c>
      <c r="Z87" s="119">
        <f t="shared" si="56"/>
        <v>101174.0547572066</v>
      </c>
      <c r="AA87" s="119">
        <f t="shared" si="56"/>
        <v>103197.53585235073</v>
      </c>
      <c r="AB87" s="119">
        <f t="shared" si="56"/>
        <v>105261.48656939775</v>
      </c>
      <c r="AC87" s="119">
        <f t="shared" si="56"/>
        <v>107366.7163007857</v>
      </c>
      <c r="AD87" s="119">
        <f t="shared" si="56"/>
        <v>109514.05062680141</v>
      </c>
      <c r="AE87" s="119">
        <f t="shared" si="56"/>
        <v>111704.33163933744</v>
      </c>
      <c r="AF87" s="119">
        <f t="shared" si="56"/>
        <v>113938.4182721242</v>
      </c>
      <c r="AG87" s="119">
        <f t="shared" si="56"/>
        <v>116217.18663756669</v>
      </c>
      <c r="AH87" s="119">
        <f t="shared" si="56"/>
        <v>118541.53037031803</v>
      </c>
      <c r="AI87" s="119">
        <f t="shared" si="56"/>
        <v>120912.36097772438</v>
      </c>
      <c r="AJ87" s="119">
        <f t="shared" si="56"/>
        <v>123330.60819727887</v>
      </c>
      <c r="AK87" s="119">
        <f t="shared" si="56"/>
        <v>125797.22036122445</v>
      </c>
      <c r="AL87" s="119">
        <f t="shared" si="56"/>
        <v>128313.16476844894</v>
      </c>
      <c r="AM87" s="119">
        <f t="shared" si="56"/>
        <v>130879.42806381792</v>
      </c>
      <c r="AN87" s="119">
        <f t="shared" si="56"/>
        <v>133497.01662509429</v>
      </c>
      <c r="AO87" s="119">
        <f t="shared" si="56"/>
        <v>136166.95695759618</v>
      </c>
      <c r="AP87" s="119">
        <f t="shared" si="56"/>
        <v>138890.29609674812</v>
      </c>
      <c r="AQ87" s="119">
        <f t="shared" si="56"/>
        <v>141668.10201868307</v>
      </c>
      <c r="AR87" s="119">
        <f t="shared" si="56"/>
        <v>144501.46405905674</v>
      </c>
      <c r="AS87" s="119">
        <f t="shared" si="56"/>
        <v>147391.49334023788</v>
      </c>
      <c r="AT87" s="119">
        <f t="shared" si="56"/>
        <v>150339.32320704265</v>
      </c>
      <c r="AU87" s="119">
        <f t="shared" si="56"/>
        <v>153346.10967118351</v>
      </c>
      <c r="AV87" s="119">
        <f t="shared" si="56"/>
        <v>156413.03186460718</v>
      </c>
      <c r="AW87" s="119">
        <f t="shared" si="56"/>
        <v>159541.29250189933</v>
      </c>
      <c r="AX87" s="119">
        <f t="shared" si="56"/>
        <v>162732.11835193733</v>
      </c>
      <c r="AY87" s="119">
        <f t="shared" si="56"/>
        <v>165986.76071897609</v>
      </c>
      <c r="AZ87" s="119">
        <f t="shared" si="56"/>
        <v>169306.49593335562</v>
      </c>
      <c r="BA87" s="119">
        <f t="shared" si="56"/>
        <v>172692.62585202273</v>
      </c>
      <c r="BB87" s="119">
        <f t="shared" si="56"/>
        <v>176146.47836906317</v>
      </c>
      <c r="BC87" s="119">
        <f t="shared" si="56"/>
        <v>179669.40793644445</v>
      </c>
      <c r="BD87" s="119">
        <f t="shared" si="56"/>
        <v>183262.79609517334</v>
      </c>
    </row>
    <row r="88" spans="1:56" outlineLevel="1" x14ac:dyDescent="0.25">
      <c r="A88" s="18" t="s">
        <v>249</v>
      </c>
      <c r="B88" s="119">
        <f>B81</f>
        <v>0</v>
      </c>
      <c r="C88" s="119">
        <f t="shared" ref="C88:M88" si="57">C81</f>
        <v>0</v>
      </c>
      <c r="D88" s="119">
        <f t="shared" si="57"/>
        <v>0</v>
      </c>
      <c r="E88" s="119">
        <f t="shared" si="57"/>
        <v>0</v>
      </c>
      <c r="F88" s="119">
        <f t="shared" si="57"/>
        <v>0</v>
      </c>
      <c r="G88" s="119">
        <f t="shared" si="57"/>
        <v>0</v>
      </c>
      <c r="H88" s="119">
        <f t="shared" si="57"/>
        <v>0</v>
      </c>
      <c r="I88" s="119">
        <f t="shared" si="57"/>
        <v>92961.346948005157</v>
      </c>
      <c r="J88" s="119">
        <f t="shared" si="57"/>
        <v>99338.961225814055</v>
      </c>
      <c r="K88" s="119">
        <f t="shared" si="57"/>
        <v>105774.50829653205</v>
      </c>
      <c r="L88" s="119">
        <f t="shared" si="57"/>
        <v>112272.39121221373</v>
      </c>
      <c r="M88" s="119">
        <f t="shared" si="57"/>
        <v>121709.87429350024</v>
      </c>
      <c r="N88" s="119">
        <f t="shared" ref="N88:BD88" si="58">M88*(1+$C$35)</f>
        <v>139966.35543752526</v>
      </c>
      <c r="O88" s="119">
        <f t="shared" si="58"/>
        <v>160961.30875315404</v>
      </c>
      <c r="P88" s="119">
        <f t="shared" si="58"/>
        <v>185105.50506612714</v>
      </c>
      <c r="Q88" s="119">
        <f t="shared" si="58"/>
        <v>212871.33082604618</v>
      </c>
      <c r="R88" s="119">
        <f t="shared" si="58"/>
        <v>244802.03044995308</v>
      </c>
      <c r="S88" s="119">
        <f t="shared" si="58"/>
        <v>281522.33501744602</v>
      </c>
      <c r="T88" s="119">
        <f t="shared" si="58"/>
        <v>323750.68527006288</v>
      </c>
      <c r="U88" s="119">
        <f t="shared" si="58"/>
        <v>372313.28806057229</v>
      </c>
      <c r="V88" s="119">
        <f t="shared" si="58"/>
        <v>428160.28126965812</v>
      </c>
      <c r="W88" s="119">
        <f t="shared" si="58"/>
        <v>492384.3234601068</v>
      </c>
      <c r="X88" s="119">
        <f t="shared" si="58"/>
        <v>566241.97197912273</v>
      </c>
      <c r="Y88" s="119">
        <f t="shared" si="58"/>
        <v>651178.26777599112</v>
      </c>
      <c r="Z88" s="119">
        <f t="shared" si="58"/>
        <v>748855.0079423897</v>
      </c>
      <c r="AA88" s="119">
        <f t="shared" si="58"/>
        <v>861183.25913374813</v>
      </c>
      <c r="AB88" s="119">
        <f t="shared" si="58"/>
        <v>990360.74800381029</v>
      </c>
      <c r="AC88" s="119">
        <f t="shared" si="58"/>
        <v>1138914.8602043816</v>
      </c>
      <c r="AD88" s="119">
        <f t="shared" si="58"/>
        <v>1309752.0892350387</v>
      </c>
      <c r="AE88" s="119">
        <f t="shared" si="58"/>
        <v>1506214.9026202944</v>
      </c>
      <c r="AF88" s="119">
        <f t="shared" si="58"/>
        <v>1732147.1380133384</v>
      </c>
      <c r="AG88" s="119">
        <f t="shared" si="58"/>
        <v>1991969.208715339</v>
      </c>
      <c r="AH88" s="119">
        <f t="shared" si="58"/>
        <v>2290764.5900226398</v>
      </c>
      <c r="AI88" s="119">
        <f t="shared" si="58"/>
        <v>2634379.2785260356</v>
      </c>
      <c r="AJ88" s="119">
        <f t="shared" si="58"/>
        <v>3029536.1703049405</v>
      </c>
      <c r="AK88" s="119">
        <f t="shared" si="58"/>
        <v>3483966.5958506814</v>
      </c>
      <c r="AL88" s="119">
        <f t="shared" si="58"/>
        <v>4006561.5852282834</v>
      </c>
      <c r="AM88" s="119">
        <f t="shared" si="58"/>
        <v>4607545.8230125252</v>
      </c>
      <c r="AN88" s="119">
        <f t="shared" si="58"/>
        <v>5298677.6964644035</v>
      </c>
      <c r="AO88" s="119">
        <f t="shared" si="58"/>
        <v>6093479.350934064</v>
      </c>
      <c r="AP88" s="119">
        <f t="shared" si="58"/>
        <v>7007501.253574173</v>
      </c>
      <c r="AQ88" s="119">
        <f t="shared" si="58"/>
        <v>8058626.4416102981</v>
      </c>
      <c r="AR88" s="119">
        <f t="shared" si="58"/>
        <v>9267420.4078518413</v>
      </c>
      <c r="AS88" s="119">
        <f t="shared" si="58"/>
        <v>10657533.469029617</v>
      </c>
      <c r="AT88" s="119">
        <f t="shared" si="58"/>
        <v>12256163.489384059</v>
      </c>
      <c r="AU88" s="119">
        <f t="shared" si="58"/>
        <v>14094588.012791667</v>
      </c>
      <c r="AV88" s="119">
        <f t="shared" si="58"/>
        <v>16208776.214710416</v>
      </c>
      <c r="AW88" s="119">
        <f t="shared" si="58"/>
        <v>18640092.646916978</v>
      </c>
      <c r="AX88" s="119">
        <f t="shared" si="58"/>
        <v>21436106.543954521</v>
      </c>
      <c r="AY88" s="119">
        <f t="shared" si="58"/>
        <v>24651522.525547698</v>
      </c>
      <c r="AZ88" s="119">
        <f t="shared" si="58"/>
        <v>28349250.904379852</v>
      </c>
      <c r="BA88" s="119">
        <f t="shared" si="58"/>
        <v>32601638.540036827</v>
      </c>
      <c r="BB88" s="119">
        <f t="shared" si="58"/>
        <v>37491884.321042351</v>
      </c>
      <c r="BC88" s="119">
        <f t="shared" si="58"/>
        <v>43115666.969198704</v>
      </c>
      <c r="BD88" s="119">
        <f t="shared" si="58"/>
        <v>49583017.014578506</v>
      </c>
    </row>
    <row r="89" spans="1:56" s="2" customFormat="1" outlineLevel="1" x14ac:dyDescent="0.25">
      <c r="A89" s="17" t="s">
        <v>401</v>
      </c>
      <c r="B89" s="121">
        <f>-B87+B88</f>
        <v>-28432</v>
      </c>
      <c r="C89" s="121">
        <f t="shared" ref="C89:BD89" si="59">-C87+C88</f>
        <v>-28462</v>
      </c>
      <c r="D89" s="121">
        <f t="shared" si="59"/>
        <v>-28492.45</v>
      </c>
      <c r="E89" s="121">
        <f t="shared" si="59"/>
        <v>-28523.356749999999</v>
      </c>
      <c r="F89" s="121">
        <f t="shared" si="59"/>
        <v>-28554.727101249999</v>
      </c>
      <c r="G89" s="121">
        <f t="shared" si="59"/>
        <v>-13025.568007768748</v>
      </c>
      <c r="H89" s="121">
        <f t="shared" si="59"/>
        <v>-13057.886527885279</v>
      </c>
      <c r="I89" s="121">
        <f t="shared" si="59"/>
        <v>29260.983648199021</v>
      </c>
      <c r="J89" s="121">
        <f t="shared" si="59"/>
        <v>32416.495439716411</v>
      </c>
      <c r="K89" s="121">
        <f t="shared" si="59"/>
        <v>35600.474197477553</v>
      </c>
      <c r="L89" s="121">
        <f t="shared" si="59"/>
        <v>38815.113956056564</v>
      </c>
      <c r="M89" s="121">
        <f t="shared" si="59"/>
        <v>43499.039271949063</v>
      </c>
      <c r="N89" s="121">
        <f t="shared" si="59"/>
        <v>60191.303715543065</v>
      </c>
      <c r="O89" s="121">
        <f t="shared" si="59"/>
        <v>79590.755996732201</v>
      </c>
      <c r="P89" s="121">
        <f t="shared" si="59"/>
        <v>102107.54125457686</v>
      </c>
      <c r="Q89" s="121">
        <f t="shared" si="59"/>
        <v>128213.4077382649</v>
      </c>
      <c r="R89" s="121">
        <f t="shared" si="59"/>
        <v>158450.94890041617</v>
      </c>
      <c r="S89" s="121">
        <f t="shared" si="59"/>
        <v>193444.23183691839</v>
      </c>
      <c r="T89" s="121">
        <f t="shared" si="59"/>
        <v>233911.02002592466</v>
      </c>
      <c r="U89" s="121">
        <f t="shared" si="59"/>
        <v>280676.8295115513</v>
      </c>
      <c r="V89" s="121">
        <f t="shared" si="59"/>
        <v>334691.09354965674</v>
      </c>
      <c r="W89" s="121">
        <f t="shared" si="59"/>
        <v>397045.75198570534</v>
      </c>
      <c r="X89" s="121">
        <f t="shared" si="59"/>
        <v>468996.62907523324</v>
      </c>
      <c r="Y89" s="121">
        <f t="shared" si="59"/>
        <v>551988.0180140239</v>
      </c>
      <c r="Z89" s="121">
        <f t="shared" si="59"/>
        <v>647680.95318518311</v>
      </c>
      <c r="AA89" s="121">
        <f t="shared" si="59"/>
        <v>757985.72328139737</v>
      </c>
      <c r="AB89" s="121">
        <f t="shared" si="59"/>
        <v>885099.26143441256</v>
      </c>
      <c r="AC89" s="121">
        <f t="shared" si="59"/>
        <v>1031548.143903596</v>
      </c>
      <c r="AD89" s="121">
        <f t="shared" si="59"/>
        <v>1200238.0386082374</v>
      </c>
      <c r="AE89" s="121">
        <f t="shared" si="59"/>
        <v>1394510.570980957</v>
      </c>
      <c r="AF89" s="121">
        <f t="shared" si="59"/>
        <v>1618208.7197412143</v>
      </c>
      <c r="AG89" s="121">
        <f t="shared" si="59"/>
        <v>1875752.0220777723</v>
      </c>
      <c r="AH89" s="121">
        <f t="shared" si="59"/>
        <v>2172223.059652322</v>
      </c>
      <c r="AI89" s="121">
        <f t="shared" si="59"/>
        <v>2513466.9175483114</v>
      </c>
      <c r="AJ89" s="121">
        <f t="shared" si="59"/>
        <v>2906205.5621076617</v>
      </c>
      <c r="AK89" s="121">
        <f t="shared" si="59"/>
        <v>3358169.375489457</v>
      </c>
      <c r="AL89" s="121">
        <f t="shared" si="59"/>
        <v>3878248.4204598344</v>
      </c>
      <c r="AM89" s="121">
        <f t="shared" si="59"/>
        <v>4476666.394948707</v>
      </c>
      <c r="AN89" s="121">
        <f t="shared" si="59"/>
        <v>5165180.6798393093</v>
      </c>
      <c r="AO89" s="121">
        <f t="shared" si="59"/>
        <v>5957312.3939764677</v>
      </c>
      <c r="AP89" s="121">
        <f t="shared" si="59"/>
        <v>6868610.9574774252</v>
      </c>
      <c r="AQ89" s="121">
        <f t="shared" si="59"/>
        <v>7916958.3395916149</v>
      </c>
      <c r="AR89" s="121">
        <f t="shared" si="59"/>
        <v>9122918.9437927846</v>
      </c>
      <c r="AS89" s="121">
        <f t="shared" si="59"/>
        <v>10510141.975689379</v>
      </c>
      <c r="AT89" s="121">
        <f t="shared" si="59"/>
        <v>12105824.166177016</v>
      </c>
      <c r="AU89" s="121">
        <f t="shared" si="59"/>
        <v>13941241.903120484</v>
      </c>
      <c r="AV89" s="121">
        <f t="shared" si="59"/>
        <v>16052363.182845809</v>
      </c>
      <c r="AW89" s="121">
        <f t="shared" si="59"/>
        <v>18480551.354415078</v>
      </c>
      <c r="AX89" s="121">
        <f t="shared" si="59"/>
        <v>21273374.425602585</v>
      </c>
      <c r="AY89" s="121">
        <f t="shared" si="59"/>
        <v>24485535.764828723</v>
      </c>
      <c r="AZ89" s="121">
        <f t="shared" si="59"/>
        <v>28179944.408446498</v>
      </c>
      <c r="BA89" s="121">
        <f t="shared" si="59"/>
        <v>32428945.914184805</v>
      </c>
      <c r="BB89" s="121">
        <f t="shared" si="59"/>
        <v>37315737.842673287</v>
      </c>
      <c r="BC89" s="121">
        <f t="shared" si="59"/>
        <v>42935997.561262257</v>
      </c>
      <c r="BD89" s="121">
        <f t="shared" si="59"/>
        <v>49399754.218483336</v>
      </c>
    </row>
    <row r="90" spans="1:56" s="2" customFormat="1" outlineLevel="1" x14ac:dyDescent="0.25">
      <c r="A90" s="17" t="s">
        <v>402</v>
      </c>
      <c r="B90" s="121">
        <f>B89</f>
        <v>-28432</v>
      </c>
      <c r="C90" s="121">
        <f>B90+C89</f>
        <v>-56894</v>
      </c>
      <c r="D90" s="121">
        <f t="shared" ref="D90:BD90" si="60">C90+D89</f>
        <v>-85386.45</v>
      </c>
      <c r="E90" s="121">
        <f t="shared" si="60"/>
        <v>-113909.80674999999</v>
      </c>
      <c r="F90" s="121">
        <f t="shared" si="60"/>
        <v>-142464.53385124999</v>
      </c>
      <c r="G90" s="121">
        <f t="shared" si="60"/>
        <v>-155490.10185901873</v>
      </c>
      <c r="H90" s="121">
        <f t="shared" si="60"/>
        <v>-168547.98838690401</v>
      </c>
      <c r="I90" s="121">
        <f t="shared" si="60"/>
        <v>-139287.004738705</v>
      </c>
      <c r="J90" s="121">
        <f t="shared" si="60"/>
        <v>-106870.50929898859</v>
      </c>
      <c r="K90" s="121">
        <f t="shared" si="60"/>
        <v>-71270.035101511035</v>
      </c>
      <c r="L90" s="121">
        <f t="shared" si="60"/>
        <v>-32454.921145454471</v>
      </c>
      <c r="M90" s="121">
        <f t="shared" si="60"/>
        <v>11044.118126494592</v>
      </c>
      <c r="N90" s="121">
        <f t="shared" si="60"/>
        <v>71235.421842037656</v>
      </c>
      <c r="O90" s="121">
        <f t="shared" si="60"/>
        <v>150826.17783876986</v>
      </c>
      <c r="P90" s="121">
        <f t="shared" si="60"/>
        <v>252933.71909334674</v>
      </c>
      <c r="Q90" s="121">
        <f t="shared" si="60"/>
        <v>381147.12683161162</v>
      </c>
      <c r="R90" s="121">
        <f t="shared" si="60"/>
        <v>539598.07573202776</v>
      </c>
      <c r="S90" s="121">
        <f t="shared" si="60"/>
        <v>733042.30756894615</v>
      </c>
      <c r="T90" s="121">
        <f t="shared" si="60"/>
        <v>966953.32759487082</v>
      </c>
      <c r="U90" s="121">
        <f t="shared" si="60"/>
        <v>1247630.1571064221</v>
      </c>
      <c r="V90" s="121">
        <f t="shared" si="60"/>
        <v>1582321.2506560788</v>
      </c>
      <c r="W90" s="121">
        <f t="shared" si="60"/>
        <v>1979367.002641784</v>
      </c>
      <c r="X90" s="121">
        <f t="shared" si="60"/>
        <v>2448363.6317170174</v>
      </c>
      <c r="Y90" s="121">
        <f t="shared" si="60"/>
        <v>3000351.6497310414</v>
      </c>
      <c r="Z90" s="121">
        <f t="shared" si="60"/>
        <v>3648032.6029162244</v>
      </c>
      <c r="AA90" s="121">
        <f t="shared" si="60"/>
        <v>4406018.3261976214</v>
      </c>
      <c r="AB90" s="121">
        <f t="shared" si="60"/>
        <v>5291117.587632034</v>
      </c>
      <c r="AC90" s="121">
        <f t="shared" si="60"/>
        <v>6322665.7315356303</v>
      </c>
      <c r="AD90" s="121">
        <f t="shared" si="60"/>
        <v>7522903.7701438675</v>
      </c>
      <c r="AE90" s="121">
        <f t="shared" si="60"/>
        <v>8917414.3411248252</v>
      </c>
      <c r="AF90" s="121">
        <f t="shared" si="60"/>
        <v>10535623.060866039</v>
      </c>
      <c r="AG90" s="121">
        <f t="shared" si="60"/>
        <v>12411375.082943812</v>
      </c>
      <c r="AH90" s="121">
        <f t="shared" si="60"/>
        <v>14583598.142596133</v>
      </c>
      <c r="AI90" s="121">
        <f t="shared" si="60"/>
        <v>17097065.060144443</v>
      </c>
      <c r="AJ90" s="121">
        <f t="shared" si="60"/>
        <v>20003270.622252107</v>
      </c>
      <c r="AK90" s="121">
        <f t="shared" si="60"/>
        <v>23361439.997741565</v>
      </c>
      <c r="AL90" s="121">
        <f t="shared" si="60"/>
        <v>27239688.418201398</v>
      </c>
      <c r="AM90" s="121">
        <f t="shared" si="60"/>
        <v>31716354.813150104</v>
      </c>
      <c r="AN90" s="121">
        <f t="shared" si="60"/>
        <v>36881535.492989413</v>
      </c>
      <c r="AO90" s="121">
        <f t="shared" si="60"/>
        <v>42838847.886965878</v>
      </c>
      <c r="AP90" s="121">
        <f t="shared" si="60"/>
        <v>49707458.844443306</v>
      </c>
      <c r="AQ90" s="121">
        <f t="shared" si="60"/>
        <v>57624417.184034921</v>
      </c>
      <c r="AR90" s="121">
        <f t="shared" si="60"/>
        <v>66747336.127827704</v>
      </c>
      <c r="AS90" s="121">
        <f t="shared" si="60"/>
        <v>77257478.103517085</v>
      </c>
      <c r="AT90" s="121">
        <f t="shared" si="60"/>
        <v>89363302.269694105</v>
      </c>
      <c r="AU90" s="121">
        <f t="shared" si="60"/>
        <v>103304544.17281459</v>
      </c>
      <c r="AV90" s="121">
        <f t="shared" si="60"/>
        <v>119356907.35566041</v>
      </c>
      <c r="AW90" s="121">
        <f t="shared" si="60"/>
        <v>137837458.7100755</v>
      </c>
      <c r="AX90" s="121">
        <f t="shared" si="60"/>
        <v>159110833.13567808</v>
      </c>
      <c r="AY90" s="121">
        <f t="shared" si="60"/>
        <v>183596368.90050679</v>
      </c>
      <c r="AZ90" s="121">
        <f t="shared" si="60"/>
        <v>211776313.30895329</v>
      </c>
      <c r="BA90" s="121">
        <f t="shared" si="60"/>
        <v>244205259.22313809</v>
      </c>
      <c r="BB90" s="121">
        <f t="shared" si="60"/>
        <v>281520997.0658114</v>
      </c>
      <c r="BC90" s="121">
        <f t="shared" si="60"/>
        <v>324456994.62707365</v>
      </c>
      <c r="BD90" s="121">
        <f t="shared" si="60"/>
        <v>373856748.84555697</v>
      </c>
    </row>
    <row r="91" spans="1:56" outlineLevel="1" x14ac:dyDescent="0.25"/>
    <row r="92" spans="1:56" outlineLevel="1" x14ac:dyDescent="0.25">
      <c r="A92" s="17" t="s">
        <v>410</v>
      </c>
      <c r="B92" s="232">
        <f>COUNTIF(B89:Y89,"&lt;=0")</f>
        <v>7</v>
      </c>
    </row>
    <row r="93" spans="1:56" outlineLevel="1" x14ac:dyDescent="0.25">
      <c r="A93" s="17" t="s">
        <v>409</v>
      </c>
      <c r="B93" s="232">
        <f>COUNTIF(B90:Y90,"&lt;=0")</f>
        <v>11</v>
      </c>
    </row>
  </sheetData>
  <dataConsolidate/>
  <mergeCells count="23">
    <mergeCell ref="B12:C12"/>
    <mergeCell ref="I12:J12"/>
    <mergeCell ref="B13:C13"/>
    <mergeCell ref="I13:J13"/>
    <mergeCell ref="B9:C9"/>
    <mergeCell ref="I9:J9"/>
    <mergeCell ref="B10:C10"/>
    <mergeCell ref="I10:J10"/>
    <mergeCell ref="B11:C11"/>
    <mergeCell ref="I11:J11"/>
    <mergeCell ref="B6:C6"/>
    <mergeCell ref="I6:J6"/>
    <mergeCell ref="B7:C7"/>
    <mergeCell ref="I7:J7"/>
    <mergeCell ref="B8:C8"/>
    <mergeCell ref="I8:J8"/>
    <mergeCell ref="B5:C5"/>
    <mergeCell ref="I5:J5"/>
    <mergeCell ref="B3:C3"/>
    <mergeCell ref="G3:H3"/>
    <mergeCell ref="I3:J3"/>
    <mergeCell ref="B4:C4"/>
    <mergeCell ref="I4:J4"/>
  </mergeCells>
  <conditionalFormatting sqref="B84:BD8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9:BD8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0:BD9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2">
    <cfRule type="colorScale" priority="5">
      <colorScale>
        <cfvo type="min"/>
        <cfvo type="max"/>
        <color rgb="FF63BE7B"/>
        <color rgb="FFFFEF9C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3">
    <cfRule type="colorScale" priority="3">
      <colorScale>
        <cfvo type="min"/>
        <cfvo type="max"/>
        <color rgb="FF63BE7B"/>
        <color rgb="FFFFEF9C"/>
      </colorScale>
    </cfRule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BD69">
    <cfRule type="colorScale" priority="1">
      <colorScale>
        <cfvo type="min"/>
        <cfvo type="max"/>
        <color rgb="FFFCFCFF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E11DA-45EE-9B49-B973-571AEF9D0B8A}">
  <sheetPr>
    <tabColor theme="6"/>
  </sheetPr>
  <dimension ref="A1:BD91"/>
  <sheetViews>
    <sheetView showGridLines="0" topLeftCell="A42" zoomScale="150" zoomScaleNormal="90" workbookViewId="0">
      <selection activeCell="A55" sqref="A55:XFD55"/>
    </sheetView>
  </sheetViews>
  <sheetFormatPr baseColWidth="10" defaultColWidth="9.1640625" defaultRowHeight="16" outlineLevelRow="1" x14ac:dyDescent="0.25"/>
  <cols>
    <col min="1" max="1" width="33.83203125" style="1" bestFit="1" customWidth="1"/>
    <col min="2" max="2" width="11" style="1" customWidth="1"/>
    <col min="3" max="3" width="14.33203125" style="1" customWidth="1"/>
    <col min="4" max="4" width="11.5" style="1" customWidth="1"/>
    <col min="5" max="5" width="11.1640625" style="1" customWidth="1"/>
    <col min="6" max="6" width="10.6640625" style="1" customWidth="1"/>
    <col min="7" max="7" width="11.6640625" style="1" customWidth="1"/>
    <col min="8" max="12" width="12.33203125" style="1" bestFit="1" customWidth="1"/>
    <col min="13" max="13" width="12.5" style="1" customWidth="1"/>
    <col min="14" max="14" width="12.33203125" style="1" bestFit="1" customWidth="1"/>
    <col min="15" max="15" width="12.5" style="1" customWidth="1"/>
    <col min="16" max="56" width="13.83203125" style="1" bestFit="1" customWidth="1"/>
    <col min="57" max="16384" width="9.1640625" style="1"/>
  </cols>
  <sheetData>
    <row r="1" spans="1:14" s="4" customFormat="1" x14ac:dyDescent="0.25">
      <c r="A1" s="25" t="s">
        <v>650</v>
      </c>
    </row>
    <row r="2" spans="1:14" x14ac:dyDescent="0.25">
      <c r="A2" s="30" t="s">
        <v>463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09"/>
    </row>
    <row r="3" spans="1:14" s="151" customFormat="1" ht="35" customHeight="1" outlineLevel="1" x14ac:dyDescent="0.25">
      <c r="A3" s="189" t="s">
        <v>363</v>
      </c>
      <c r="B3" s="582" t="s">
        <v>351</v>
      </c>
      <c r="C3" s="582"/>
      <c r="D3" s="190" t="s">
        <v>356</v>
      </c>
      <c r="E3" s="190" t="s">
        <v>352</v>
      </c>
      <c r="F3" s="190" t="s">
        <v>353</v>
      </c>
      <c r="G3" s="583" t="s">
        <v>362</v>
      </c>
      <c r="H3" s="583"/>
      <c r="I3" s="582" t="s">
        <v>351</v>
      </c>
      <c r="J3" s="582"/>
      <c r="K3" s="190" t="s">
        <v>356</v>
      </c>
      <c r="L3" s="190" t="s">
        <v>352</v>
      </c>
      <c r="M3" s="190" t="s">
        <v>353</v>
      </c>
      <c r="N3" s="208"/>
    </row>
    <row r="4" spans="1:14" s="151" customFormat="1" outlineLevel="1" x14ac:dyDescent="0.25">
      <c r="A4" s="104" t="s">
        <v>182</v>
      </c>
      <c r="B4" s="585">
        <v>1</v>
      </c>
      <c r="C4" s="585"/>
      <c r="D4" s="177">
        <f>B16/10</f>
        <v>18</v>
      </c>
      <c r="E4" s="179">
        <f>'Payroll 2020'!E357*7</f>
        <v>280</v>
      </c>
      <c r="F4" s="183">
        <f>E4*D4*B4</f>
        <v>5040</v>
      </c>
      <c r="G4" s="153"/>
      <c r="H4" s="153"/>
      <c r="I4" s="586">
        <v>1</v>
      </c>
      <c r="J4" s="586"/>
      <c r="K4" s="186">
        <v>10</v>
      </c>
      <c r="L4" s="179">
        <f>E4</f>
        <v>280</v>
      </c>
      <c r="M4" s="183">
        <f>L4*K4*I4</f>
        <v>2800</v>
      </c>
      <c r="N4" s="150"/>
    </row>
    <row r="5" spans="1:14" s="151" customFormat="1" outlineLevel="1" x14ac:dyDescent="0.25">
      <c r="A5" s="104" t="s">
        <v>183</v>
      </c>
      <c r="B5" s="585">
        <v>1</v>
      </c>
      <c r="C5" s="585"/>
      <c r="D5" s="184">
        <f>B16</f>
        <v>180</v>
      </c>
      <c r="E5" s="179">
        <f>'Payroll 2020'!E358*7</f>
        <v>196</v>
      </c>
      <c r="F5" s="183">
        <f t="shared" ref="F5:F11" si="0">E5*D5*B5</f>
        <v>35280</v>
      </c>
      <c r="G5" s="153"/>
      <c r="H5" s="153"/>
      <c r="I5" s="586">
        <v>1</v>
      </c>
      <c r="J5" s="586"/>
      <c r="K5" s="186">
        <f>B19/10</f>
        <v>6</v>
      </c>
      <c r="L5" s="179">
        <f t="shared" ref="L5:L11" si="1">E5</f>
        <v>196</v>
      </c>
      <c r="M5" s="183">
        <f t="shared" ref="M5:M11" si="2">L5*K5*I5</f>
        <v>1176</v>
      </c>
    </row>
    <row r="6" spans="1:14" s="151" customFormat="1" ht="16" customHeight="1" outlineLevel="1" x14ac:dyDescent="0.25">
      <c r="A6" s="18" t="s">
        <v>184</v>
      </c>
      <c r="B6" s="587">
        <v>1</v>
      </c>
      <c r="C6" s="587"/>
      <c r="D6" s="177">
        <v>20</v>
      </c>
      <c r="E6" s="179">
        <f>'Payroll 2020'!E361*7</f>
        <v>126</v>
      </c>
      <c r="F6" s="183">
        <f t="shared" si="0"/>
        <v>2520</v>
      </c>
      <c r="I6" s="585">
        <v>1</v>
      </c>
      <c r="J6" s="585"/>
      <c r="K6" s="185">
        <f>B19/10</f>
        <v>6</v>
      </c>
      <c r="L6" s="179">
        <f t="shared" si="1"/>
        <v>126</v>
      </c>
      <c r="M6" s="183">
        <f t="shared" si="2"/>
        <v>756</v>
      </c>
    </row>
    <row r="7" spans="1:14" s="151" customFormat="1" ht="16" customHeight="1" outlineLevel="1" x14ac:dyDescent="0.25">
      <c r="A7" s="18" t="s">
        <v>185</v>
      </c>
      <c r="B7" s="584">
        <v>1</v>
      </c>
      <c r="C7" s="584"/>
      <c r="D7" s="184">
        <f>B16</f>
        <v>180</v>
      </c>
      <c r="E7" s="180">
        <f>'Payroll 2020'!E362*7</f>
        <v>161</v>
      </c>
      <c r="F7" s="183">
        <f t="shared" si="0"/>
        <v>28980</v>
      </c>
      <c r="G7" s="150"/>
      <c r="H7" s="150"/>
      <c r="I7" s="585">
        <v>1</v>
      </c>
      <c r="J7" s="585"/>
      <c r="K7" s="185">
        <f>B19</f>
        <v>60</v>
      </c>
      <c r="L7" s="179">
        <f t="shared" si="1"/>
        <v>161</v>
      </c>
      <c r="M7" s="183">
        <f t="shared" si="2"/>
        <v>9660</v>
      </c>
    </row>
    <row r="8" spans="1:14" s="151" customFormat="1" outlineLevel="1" x14ac:dyDescent="0.25">
      <c r="A8" s="18" t="s">
        <v>189</v>
      </c>
      <c r="B8" s="585">
        <v>1</v>
      </c>
      <c r="C8" s="585"/>
      <c r="D8" s="177">
        <v>50</v>
      </c>
      <c r="E8" s="179">
        <f>'Payroll 2020'!E365*7</f>
        <v>210</v>
      </c>
      <c r="F8" s="183">
        <f t="shared" si="0"/>
        <v>10500</v>
      </c>
      <c r="G8" s="153"/>
      <c r="H8" s="153"/>
      <c r="I8" s="586">
        <v>0</v>
      </c>
      <c r="J8" s="586"/>
      <c r="K8" s="186">
        <v>0</v>
      </c>
      <c r="L8" s="179">
        <f t="shared" si="1"/>
        <v>210</v>
      </c>
      <c r="M8" s="183">
        <f t="shared" si="2"/>
        <v>0</v>
      </c>
    </row>
    <row r="9" spans="1:14" s="151" customFormat="1" outlineLevel="1" x14ac:dyDescent="0.25">
      <c r="A9" s="18" t="s">
        <v>190</v>
      </c>
      <c r="B9" s="587">
        <v>1</v>
      </c>
      <c r="C9" s="587"/>
      <c r="D9" s="184">
        <f>B16</f>
        <v>180</v>
      </c>
      <c r="E9" s="179">
        <f>'Payroll 2020'!E366*7</f>
        <v>52.5</v>
      </c>
      <c r="F9" s="183">
        <f t="shared" si="0"/>
        <v>9450</v>
      </c>
      <c r="I9" s="585">
        <v>1</v>
      </c>
      <c r="J9" s="585"/>
      <c r="K9" s="185">
        <f>B19</f>
        <v>60</v>
      </c>
      <c r="L9" s="179">
        <f t="shared" si="1"/>
        <v>52.5</v>
      </c>
      <c r="M9" s="183">
        <f t="shared" si="2"/>
        <v>3150</v>
      </c>
    </row>
    <row r="10" spans="1:14" s="154" customFormat="1" ht="17" customHeight="1" outlineLevel="1" x14ac:dyDescent="0.25">
      <c r="A10" s="18" t="s">
        <v>191</v>
      </c>
      <c r="B10" s="585">
        <v>1</v>
      </c>
      <c r="C10" s="585"/>
      <c r="D10" s="185">
        <f>B16</f>
        <v>180</v>
      </c>
      <c r="E10" s="181">
        <f>'Payroll 2020'!E367*7</f>
        <v>70</v>
      </c>
      <c r="F10" s="183">
        <f t="shared" si="0"/>
        <v>12600</v>
      </c>
      <c r="I10" s="585">
        <v>1</v>
      </c>
      <c r="J10" s="585"/>
      <c r="K10" s="185">
        <f>B19</f>
        <v>60</v>
      </c>
      <c r="L10" s="179">
        <f t="shared" si="1"/>
        <v>70</v>
      </c>
      <c r="M10" s="183">
        <f t="shared" si="2"/>
        <v>4200</v>
      </c>
    </row>
    <row r="11" spans="1:14" s="151" customFormat="1" outlineLevel="1" x14ac:dyDescent="0.25">
      <c r="A11" s="18" t="s">
        <v>350</v>
      </c>
      <c r="B11" s="585">
        <v>3</v>
      </c>
      <c r="C11" s="585"/>
      <c r="D11" s="185">
        <f>B16</f>
        <v>180</v>
      </c>
      <c r="E11" s="182">
        <f>'Payroll 2020'!E377*7</f>
        <v>52.5</v>
      </c>
      <c r="F11" s="183">
        <f t="shared" si="0"/>
        <v>28350</v>
      </c>
      <c r="G11" s="175"/>
      <c r="H11" s="175"/>
      <c r="I11" s="585">
        <v>2</v>
      </c>
      <c r="J11" s="585"/>
      <c r="K11" s="185">
        <v>0</v>
      </c>
      <c r="L11" s="179">
        <f t="shared" si="1"/>
        <v>52.5</v>
      </c>
      <c r="M11" s="183">
        <f t="shared" si="2"/>
        <v>0</v>
      </c>
    </row>
    <row r="12" spans="1:14" s="151" customFormat="1" outlineLevel="1" x14ac:dyDescent="0.25">
      <c r="A12" s="18" t="s">
        <v>194</v>
      </c>
      <c r="B12" s="588">
        <v>1</v>
      </c>
      <c r="C12" s="588"/>
      <c r="D12" s="185">
        <f>B16/6</f>
        <v>30</v>
      </c>
      <c r="E12" s="179">
        <f>'Payroll 2020'!E371*7</f>
        <v>175</v>
      </c>
      <c r="F12" s="183">
        <f>E12*D12*B12</f>
        <v>5250</v>
      </c>
      <c r="H12" s="156"/>
      <c r="I12" s="586">
        <v>0</v>
      </c>
      <c r="J12" s="586"/>
      <c r="K12" s="185">
        <v>0</v>
      </c>
      <c r="L12" s="179">
        <f>E12</f>
        <v>175</v>
      </c>
      <c r="M12" s="183">
        <f>L12*K12*I12</f>
        <v>0</v>
      </c>
    </row>
    <row r="13" spans="1:14" s="151" customFormat="1" outlineLevel="1" x14ac:dyDescent="0.25">
      <c r="A13" s="17" t="s">
        <v>361</v>
      </c>
      <c r="B13" s="589">
        <f>SUM(B4:C12)</f>
        <v>11</v>
      </c>
      <c r="C13" s="589"/>
      <c r="D13" s="187">
        <f>SUM(D4:D12)</f>
        <v>1018</v>
      </c>
      <c r="E13" s="178"/>
      <c r="F13" s="188">
        <f>SUM(F4:F12)</f>
        <v>137970</v>
      </c>
      <c r="H13" s="156"/>
      <c r="I13" s="589">
        <f>SUM(I4:J12)</f>
        <v>8</v>
      </c>
      <c r="J13" s="589"/>
      <c r="K13" s="187">
        <f>SUM(K4:K12)</f>
        <v>202</v>
      </c>
      <c r="L13" s="178"/>
      <c r="M13" s="188">
        <f>SUM(M4:M12)</f>
        <v>21742</v>
      </c>
    </row>
    <row r="14" spans="1:14" s="151" customFormat="1" outlineLevel="1" x14ac:dyDescent="0.25">
      <c r="B14" s="155"/>
      <c r="E14" s="150"/>
      <c r="H14" s="156"/>
      <c r="I14" s="153"/>
      <c r="J14" s="153"/>
    </row>
    <row r="15" spans="1:14" s="151" customFormat="1" outlineLevel="1" x14ac:dyDescent="0.25">
      <c r="A15" s="150" t="s">
        <v>354</v>
      </c>
      <c r="B15" s="176">
        <v>44317</v>
      </c>
      <c r="E15" s="150"/>
      <c r="F15" s="150" t="s">
        <v>55</v>
      </c>
      <c r="H15" s="156"/>
      <c r="I15" s="153"/>
      <c r="J15" s="153"/>
    </row>
    <row r="16" spans="1:14" s="151" customFormat="1" outlineLevel="1" x14ac:dyDescent="0.25">
      <c r="A16" s="151" t="s">
        <v>356</v>
      </c>
      <c r="B16" s="173">
        <v>180</v>
      </c>
      <c r="C16" s="151">
        <f>ROUND(B16/31,0)</f>
        <v>6</v>
      </c>
      <c r="D16" s="151" t="s">
        <v>236</v>
      </c>
      <c r="F16" s="151" t="s">
        <v>366</v>
      </c>
      <c r="I16" s="183">
        <v>5000</v>
      </c>
      <c r="J16" s="151" t="s">
        <v>257</v>
      </c>
    </row>
    <row r="17" spans="1:13" s="151" customFormat="1" outlineLevel="1" x14ac:dyDescent="0.25">
      <c r="A17" s="151" t="s">
        <v>355</v>
      </c>
      <c r="B17" s="176">
        <f>B15+B16</f>
        <v>44497</v>
      </c>
      <c r="E17" s="150"/>
      <c r="F17" s="151" t="s">
        <v>256</v>
      </c>
      <c r="H17" s="156"/>
      <c r="I17" s="192">
        <v>1.4999999999999999E-2</v>
      </c>
      <c r="J17" s="151" t="s">
        <v>257</v>
      </c>
    </row>
    <row r="18" spans="1:13" s="151" customFormat="1" outlineLevel="1" x14ac:dyDescent="0.25">
      <c r="A18" s="150" t="s">
        <v>357</v>
      </c>
      <c r="B18" s="176">
        <f>B17+1</f>
        <v>44498</v>
      </c>
      <c r="F18" s="151" t="s">
        <v>365</v>
      </c>
      <c r="I18" s="193">
        <v>0.02</v>
      </c>
      <c r="J18" s="151" t="s">
        <v>257</v>
      </c>
    </row>
    <row r="19" spans="1:13" s="151" customFormat="1" outlineLevel="1" x14ac:dyDescent="0.25">
      <c r="A19" s="151" t="s">
        <v>356</v>
      </c>
      <c r="B19" s="173">
        <v>60</v>
      </c>
      <c r="C19" s="151">
        <f>ROUND(B19/31,0)</f>
        <v>2</v>
      </c>
      <c r="D19" s="151" t="s">
        <v>236</v>
      </c>
    </row>
    <row r="20" spans="1:13" s="151" customFormat="1" outlineLevel="1" x14ac:dyDescent="0.25">
      <c r="A20" s="151" t="s">
        <v>358</v>
      </c>
      <c r="B20" s="176">
        <f>B18+B19</f>
        <v>44558</v>
      </c>
      <c r="F20" s="150" t="s">
        <v>467</v>
      </c>
    </row>
    <row r="21" spans="1:13" s="151" customFormat="1" outlineLevel="1" x14ac:dyDescent="0.25">
      <c r="B21" s="176"/>
      <c r="F21" s="150" t="s">
        <v>469</v>
      </c>
      <c r="I21" s="176">
        <f>B20+1</f>
        <v>44559</v>
      </c>
    </row>
    <row r="22" spans="1:13" s="151" customFormat="1" outlineLevel="1" x14ac:dyDescent="0.25">
      <c r="B22" s="176"/>
      <c r="F22" s="151" t="s">
        <v>468</v>
      </c>
      <c r="I22" s="183">
        <v>15000</v>
      </c>
      <c r="J22" s="151" t="s">
        <v>257</v>
      </c>
    </row>
    <row r="23" spans="1:13" s="151" customFormat="1" x14ac:dyDescent="0.25">
      <c r="B23" s="176"/>
    </row>
    <row r="24" spans="1:13" s="151" customFormat="1" x14ac:dyDescent="0.25">
      <c r="A24" s="30" t="s">
        <v>377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1:13" s="151" customFormat="1" outlineLevel="1" x14ac:dyDescent="0.25">
      <c r="A25" s="150" t="s">
        <v>532</v>
      </c>
      <c r="F25" s="150"/>
      <c r="G25" s="176"/>
      <c r="I25" s="183"/>
    </row>
    <row r="26" spans="1:13" s="151" customFormat="1" outlineLevel="1" x14ac:dyDescent="0.25">
      <c r="A26" s="151" t="s">
        <v>396</v>
      </c>
      <c r="C26" s="153">
        <v>0.1</v>
      </c>
      <c r="D26" s="151" t="s">
        <v>534</v>
      </c>
      <c r="F26" s="150" t="s">
        <v>545</v>
      </c>
      <c r="G26" s="176"/>
      <c r="J26" s="192"/>
    </row>
    <row r="27" spans="1:13" s="151" customFormat="1" outlineLevel="1" x14ac:dyDescent="0.25">
      <c r="A27" s="151" t="s">
        <v>536</v>
      </c>
      <c r="C27" s="153">
        <v>0.2</v>
      </c>
      <c r="D27" s="151" t="s">
        <v>537</v>
      </c>
      <c r="F27" s="446" t="s">
        <v>546</v>
      </c>
      <c r="G27" s="176"/>
      <c r="H27" s="155">
        <v>10</v>
      </c>
      <c r="I27" s="151" t="s">
        <v>257</v>
      </c>
      <c r="J27" s="192"/>
    </row>
    <row r="28" spans="1:13" s="151" customFormat="1" outlineLevel="1" x14ac:dyDescent="0.25">
      <c r="A28" s="151" t="s">
        <v>538</v>
      </c>
      <c r="C28" s="442">
        <v>200000000</v>
      </c>
      <c r="F28" s="446" t="s">
        <v>547</v>
      </c>
      <c r="H28" s="155">
        <v>50</v>
      </c>
      <c r="I28" s="151" t="s">
        <v>257</v>
      </c>
    </row>
    <row r="29" spans="1:13" s="151" customFormat="1" outlineLevel="1" x14ac:dyDescent="0.25">
      <c r="A29" s="151" t="s">
        <v>540</v>
      </c>
      <c r="C29" s="153">
        <v>0.03</v>
      </c>
      <c r="F29" s="446" t="s">
        <v>548</v>
      </c>
      <c r="H29" s="155">
        <v>500</v>
      </c>
      <c r="I29" s="151" t="s">
        <v>257</v>
      </c>
    </row>
    <row r="30" spans="1:13" s="151" customFormat="1" outlineLevel="1" x14ac:dyDescent="0.25">
      <c r="A30" s="151" t="s">
        <v>539</v>
      </c>
      <c r="C30" s="442">
        <f>C29*C28</f>
        <v>6000000</v>
      </c>
      <c r="I30" s="153"/>
    </row>
    <row r="31" spans="1:13" s="151" customFormat="1" outlineLevel="1" x14ac:dyDescent="0.25">
      <c r="A31" s="151" t="s">
        <v>541</v>
      </c>
      <c r="C31" s="153">
        <v>0.01</v>
      </c>
      <c r="F31" s="150" t="s">
        <v>549</v>
      </c>
      <c r="I31" s="153"/>
    </row>
    <row r="32" spans="1:13" s="151" customFormat="1" outlineLevel="1" x14ac:dyDescent="0.25">
      <c r="A32" s="151" t="s">
        <v>542</v>
      </c>
      <c r="C32" s="442">
        <f>C31*C30</f>
        <v>60000</v>
      </c>
      <c r="F32" s="151" t="str">
        <f>F27</f>
        <v>Small betters</v>
      </c>
      <c r="H32" s="153">
        <v>0.6</v>
      </c>
      <c r="I32" s="153"/>
    </row>
    <row r="33" spans="1:56" s="151" customFormat="1" outlineLevel="1" x14ac:dyDescent="0.25">
      <c r="A33" s="151" t="s">
        <v>256</v>
      </c>
      <c r="C33" s="153">
        <v>0.02</v>
      </c>
      <c r="F33" s="151" t="str">
        <f t="shared" ref="F33:F34" si="3">F28</f>
        <v>Medium betters</v>
      </c>
      <c r="H33" s="153">
        <v>0.35</v>
      </c>
      <c r="I33" s="153"/>
    </row>
    <row r="34" spans="1:56" s="151" customFormat="1" outlineLevel="1" x14ac:dyDescent="0.25">
      <c r="B34" s="176"/>
      <c r="F34" s="151" t="str">
        <f t="shared" si="3"/>
        <v>Large betters</v>
      </c>
      <c r="H34" s="153">
        <v>0.05</v>
      </c>
      <c r="I34" s="183"/>
    </row>
    <row r="35" spans="1:56" s="151" customFormat="1" outlineLevel="1" x14ac:dyDescent="0.25">
      <c r="A35" s="150" t="s">
        <v>533</v>
      </c>
      <c r="B35" s="176"/>
      <c r="F35" s="150"/>
      <c r="G35" s="176"/>
      <c r="H35" s="173"/>
    </row>
    <row r="36" spans="1:56" s="151" customFormat="1" outlineLevel="1" x14ac:dyDescent="0.25">
      <c r="A36" s="151" t="s">
        <v>556</v>
      </c>
      <c r="B36" s="176"/>
      <c r="C36" s="193">
        <v>0.15</v>
      </c>
      <c r="F36" s="150" t="s">
        <v>550</v>
      </c>
      <c r="G36" s="176"/>
      <c r="J36" s="193"/>
    </row>
    <row r="37" spans="1:56" s="151" customFormat="1" outlineLevel="1" x14ac:dyDescent="0.25">
      <c r="A37" s="151" t="s">
        <v>535</v>
      </c>
      <c r="B37" s="176"/>
      <c r="C37" s="300">
        <v>2.99</v>
      </c>
      <c r="F37" s="151" t="str">
        <f>F32</f>
        <v>Small betters</v>
      </c>
      <c r="G37" s="176"/>
      <c r="H37" s="153">
        <v>0.3</v>
      </c>
      <c r="J37" s="192"/>
    </row>
    <row r="38" spans="1:56" s="151" customFormat="1" outlineLevel="1" x14ac:dyDescent="0.25">
      <c r="A38" s="151" t="s">
        <v>543</v>
      </c>
      <c r="B38" s="176"/>
      <c r="C38" s="193">
        <v>5.0000000000000001E-3</v>
      </c>
      <c r="F38" s="151" t="str">
        <f t="shared" ref="F38:F39" si="4">F33</f>
        <v>Medium betters</v>
      </c>
      <c r="G38" s="176"/>
      <c r="H38" s="153">
        <v>0.4</v>
      </c>
      <c r="J38" s="193"/>
    </row>
    <row r="39" spans="1:56" s="151" customFormat="1" outlineLevel="1" x14ac:dyDescent="0.25">
      <c r="B39" s="176"/>
      <c r="C39" s="193"/>
      <c r="F39" s="151" t="str">
        <f t="shared" si="4"/>
        <v>Large betters</v>
      </c>
      <c r="G39" s="176"/>
      <c r="H39" s="153">
        <v>0.3</v>
      </c>
      <c r="J39" s="193"/>
    </row>
    <row r="40" spans="1:56" s="151" customFormat="1" outlineLevel="1" x14ac:dyDescent="0.25">
      <c r="A40" s="150"/>
    </row>
    <row r="41" spans="1:56" s="151" customFormat="1" x14ac:dyDescent="0.25">
      <c r="A41" s="27" t="str">
        <f>A25</f>
        <v>API 1: Data service for betting websites to bet on esports</v>
      </c>
      <c r="B41" s="76">
        <f>B15</f>
        <v>44317</v>
      </c>
      <c r="C41" s="76">
        <f t="shared" ref="C41:M41" si="5">C69</f>
        <v>44348</v>
      </c>
      <c r="D41" s="76">
        <f t="shared" si="5"/>
        <v>44379</v>
      </c>
      <c r="E41" s="76">
        <f t="shared" si="5"/>
        <v>44410</v>
      </c>
      <c r="F41" s="76">
        <f t="shared" si="5"/>
        <v>44441</v>
      </c>
      <c r="G41" s="76">
        <f t="shared" si="5"/>
        <v>44472</v>
      </c>
      <c r="H41" s="76">
        <f t="shared" si="5"/>
        <v>44503</v>
      </c>
      <c r="I41" s="76">
        <f t="shared" si="5"/>
        <v>44534</v>
      </c>
      <c r="J41" s="76">
        <f t="shared" si="5"/>
        <v>44565</v>
      </c>
      <c r="K41" s="76">
        <f t="shared" si="5"/>
        <v>44596</v>
      </c>
      <c r="L41" s="76">
        <f t="shared" si="5"/>
        <v>44627</v>
      </c>
      <c r="M41" s="76">
        <f t="shared" si="5"/>
        <v>44658</v>
      </c>
      <c r="N41" s="76">
        <f>M41+31</f>
        <v>44689</v>
      </c>
      <c r="O41" s="76">
        <f t="shared" ref="O41:BD41" si="6">N41+31</f>
        <v>44720</v>
      </c>
      <c r="P41" s="76">
        <f t="shared" si="6"/>
        <v>44751</v>
      </c>
      <c r="Q41" s="76">
        <f t="shared" si="6"/>
        <v>44782</v>
      </c>
      <c r="R41" s="76">
        <f t="shared" si="6"/>
        <v>44813</v>
      </c>
      <c r="S41" s="76">
        <f t="shared" si="6"/>
        <v>44844</v>
      </c>
      <c r="T41" s="76">
        <f t="shared" si="6"/>
        <v>44875</v>
      </c>
      <c r="U41" s="76">
        <f t="shared" si="6"/>
        <v>44906</v>
      </c>
      <c r="V41" s="76">
        <f t="shared" si="6"/>
        <v>44937</v>
      </c>
      <c r="W41" s="76">
        <f t="shared" si="6"/>
        <v>44968</v>
      </c>
      <c r="X41" s="76">
        <f t="shared" si="6"/>
        <v>44999</v>
      </c>
      <c r="Y41" s="76">
        <f t="shared" si="6"/>
        <v>45030</v>
      </c>
      <c r="Z41" s="76">
        <f t="shared" si="6"/>
        <v>45061</v>
      </c>
      <c r="AA41" s="76">
        <f t="shared" si="6"/>
        <v>45092</v>
      </c>
      <c r="AB41" s="76">
        <f t="shared" si="6"/>
        <v>45123</v>
      </c>
      <c r="AC41" s="76">
        <f t="shared" si="6"/>
        <v>45154</v>
      </c>
      <c r="AD41" s="76">
        <f t="shared" si="6"/>
        <v>45185</v>
      </c>
      <c r="AE41" s="76">
        <f t="shared" si="6"/>
        <v>45216</v>
      </c>
      <c r="AF41" s="76">
        <f t="shared" si="6"/>
        <v>45247</v>
      </c>
      <c r="AG41" s="76">
        <f t="shared" si="6"/>
        <v>45278</v>
      </c>
      <c r="AH41" s="76">
        <f t="shared" si="6"/>
        <v>45309</v>
      </c>
      <c r="AI41" s="76">
        <f t="shared" si="6"/>
        <v>45340</v>
      </c>
      <c r="AJ41" s="76">
        <f t="shared" si="6"/>
        <v>45371</v>
      </c>
      <c r="AK41" s="76">
        <f t="shared" si="6"/>
        <v>45402</v>
      </c>
      <c r="AL41" s="76">
        <f t="shared" si="6"/>
        <v>45433</v>
      </c>
      <c r="AM41" s="76">
        <f t="shared" si="6"/>
        <v>45464</v>
      </c>
      <c r="AN41" s="76">
        <f t="shared" si="6"/>
        <v>45495</v>
      </c>
      <c r="AO41" s="76">
        <f t="shared" si="6"/>
        <v>45526</v>
      </c>
      <c r="AP41" s="76">
        <f t="shared" si="6"/>
        <v>45557</v>
      </c>
      <c r="AQ41" s="76">
        <f t="shared" si="6"/>
        <v>45588</v>
      </c>
      <c r="AR41" s="76">
        <f t="shared" si="6"/>
        <v>45619</v>
      </c>
      <c r="AS41" s="76">
        <f t="shared" si="6"/>
        <v>45650</v>
      </c>
      <c r="AT41" s="76">
        <f t="shared" si="6"/>
        <v>45681</v>
      </c>
      <c r="AU41" s="76">
        <f t="shared" si="6"/>
        <v>45712</v>
      </c>
      <c r="AV41" s="76">
        <f t="shared" si="6"/>
        <v>45743</v>
      </c>
      <c r="AW41" s="76">
        <f t="shared" si="6"/>
        <v>45774</v>
      </c>
      <c r="AX41" s="76">
        <f t="shared" si="6"/>
        <v>45805</v>
      </c>
      <c r="AY41" s="76">
        <f t="shared" si="6"/>
        <v>45836</v>
      </c>
      <c r="AZ41" s="76">
        <f t="shared" si="6"/>
        <v>45867</v>
      </c>
      <c r="BA41" s="76">
        <f t="shared" si="6"/>
        <v>45898</v>
      </c>
      <c r="BB41" s="76">
        <f t="shared" si="6"/>
        <v>45929</v>
      </c>
      <c r="BC41" s="76">
        <f t="shared" si="6"/>
        <v>45960</v>
      </c>
      <c r="BD41" s="76">
        <f t="shared" si="6"/>
        <v>45991</v>
      </c>
    </row>
    <row r="42" spans="1:56" s="445" customFormat="1" ht="17" x14ac:dyDescent="0.25">
      <c r="A42" s="443" t="s">
        <v>544</v>
      </c>
      <c r="B42" s="444" t="str">
        <f>IF(SUM(B70:B71)&gt;0,"0",$C$32)</f>
        <v>0</v>
      </c>
      <c r="C42" s="444" t="str">
        <f>IF(AND(SUM(C70:C71)&gt;0,B42="0"),"0",IF(AND(SUM(C70:C71)=0,B42="0"),$C$32,IF(AND(B42&gt;0,SUM(C70:C71)=0),B42*(1+$C$33),"0")))</f>
        <v>0</v>
      </c>
      <c r="D42" s="444" t="str">
        <f t="shared" ref="D42:AH42" si="7">IF(AND(SUM(D70:D71)&gt;0,C42="0"),"0",IF(AND(SUM(D70:D71)=0,C42="0"),$C$32,IF(AND(C42&gt;0,SUM(D70:D71)=0),C42*(1+$C$33),"0")))</f>
        <v>0</v>
      </c>
      <c r="E42" s="444" t="str">
        <f t="shared" si="7"/>
        <v>0</v>
      </c>
      <c r="F42" s="444" t="str">
        <f t="shared" si="7"/>
        <v>0</v>
      </c>
      <c r="G42" s="444" t="str">
        <f t="shared" si="7"/>
        <v>0</v>
      </c>
      <c r="H42" s="444" t="str">
        <f t="shared" si="7"/>
        <v>0</v>
      </c>
      <c r="I42" s="444" t="str">
        <f t="shared" si="7"/>
        <v>0</v>
      </c>
      <c r="J42" s="444">
        <f t="shared" si="7"/>
        <v>60000</v>
      </c>
      <c r="K42" s="444">
        <f t="shared" si="7"/>
        <v>61200</v>
      </c>
      <c r="L42" s="444">
        <f t="shared" si="7"/>
        <v>62424</v>
      </c>
      <c r="M42" s="444">
        <f t="shared" si="7"/>
        <v>63672.480000000003</v>
      </c>
      <c r="N42" s="444">
        <f t="shared" si="7"/>
        <v>64945.929600000003</v>
      </c>
      <c r="O42" s="444">
        <f t="shared" si="7"/>
        <v>66244.848192000005</v>
      </c>
      <c r="P42" s="444">
        <f t="shared" si="7"/>
        <v>67569.745155840006</v>
      </c>
      <c r="Q42" s="444">
        <f t="shared" si="7"/>
        <v>68921.140058956807</v>
      </c>
      <c r="R42" s="444">
        <f t="shared" si="7"/>
        <v>70299.562860135949</v>
      </c>
      <c r="S42" s="444">
        <f t="shared" si="7"/>
        <v>71705.554117338674</v>
      </c>
      <c r="T42" s="444">
        <f t="shared" si="7"/>
        <v>73139.665199685449</v>
      </c>
      <c r="U42" s="444">
        <f t="shared" si="7"/>
        <v>74602.458503679154</v>
      </c>
      <c r="V42" s="444">
        <f t="shared" si="7"/>
        <v>76094.507673752742</v>
      </c>
      <c r="W42" s="444">
        <f t="shared" si="7"/>
        <v>77616.397827227804</v>
      </c>
      <c r="X42" s="444">
        <f t="shared" si="7"/>
        <v>79168.725783772359</v>
      </c>
      <c r="Y42" s="444">
        <f t="shared" si="7"/>
        <v>80752.100299447804</v>
      </c>
      <c r="Z42" s="444">
        <f t="shared" si="7"/>
        <v>82367.142305436762</v>
      </c>
      <c r="AA42" s="444">
        <f t="shared" si="7"/>
        <v>84014.485151545494</v>
      </c>
      <c r="AB42" s="444">
        <f t="shared" si="7"/>
        <v>85694.774854576404</v>
      </c>
      <c r="AC42" s="444">
        <f t="shared" si="7"/>
        <v>87408.670351667941</v>
      </c>
      <c r="AD42" s="444">
        <f t="shared" si="7"/>
        <v>89156.843758701303</v>
      </c>
      <c r="AE42" s="444">
        <f t="shared" si="7"/>
        <v>90939.980633875326</v>
      </c>
      <c r="AF42" s="444">
        <f t="shared" si="7"/>
        <v>92758.780246552837</v>
      </c>
      <c r="AG42" s="444">
        <f t="shared" si="7"/>
        <v>94613.955851483901</v>
      </c>
      <c r="AH42" s="444">
        <f t="shared" si="7"/>
        <v>96506.234968513585</v>
      </c>
      <c r="AI42" s="444">
        <f t="shared" ref="AI42:BD42" si="8">IF(AND(SUM(AI70:AI71)&gt;0,AH42="0"),"0",IF(AND(SUM(AI70:AI71)=0,AH42="0"),$C$32,IF(AND(AH42&gt;0,SUM(AI70:AI71)=0),AH42*(1+$C$33),"0")))</f>
        <v>98436.359667883851</v>
      </c>
      <c r="AJ42" s="444">
        <f t="shared" si="8"/>
        <v>100405.08686124154</v>
      </c>
      <c r="AK42" s="444">
        <f t="shared" si="8"/>
        <v>102413.18859846637</v>
      </c>
      <c r="AL42" s="444">
        <f t="shared" si="8"/>
        <v>104461.4523704357</v>
      </c>
      <c r="AM42" s="444">
        <f t="shared" si="8"/>
        <v>106550.68141784442</v>
      </c>
      <c r="AN42" s="444">
        <f t="shared" si="8"/>
        <v>108681.6950462013</v>
      </c>
      <c r="AO42" s="444">
        <f t="shared" si="8"/>
        <v>110855.32894712534</v>
      </c>
      <c r="AP42" s="444">
        <f t="shared" si="8"/>
        <v>113072.43552606784</v>
      </c>
      <c r="AQ42" s="444">
        <f t="shared" si="8"/>
        <v>115333.88423658921</v>
      </c>
      <c r="AR42" s="444">
        <f t="shared" si="8"/>
        <v>117640.56192132099</v>
      </c>
      <c r="AS42" s="444">
        <f t="shared" si="8"/>
        <v>119993.37315974741</v>
      </c>
      <c r="AT42" s="444">
        <f t="shared" si="8"/>
        <v>122393.24062294237</v>
      </c>
      <c r="AU42" s="444">
        <f t="shared" si="8"/>
        <v>124841.10543540122</v>
      </c>
      <c r="AV42" s="444">
        <f t="shared" si="8"/>
        <v>127337.92754410925</v>
      </c>
      <c r="AW42" s="444">
        <f t="shared" si="8"/>
        <v>129884.68609499144</v>
      </c>
      <c r="AX42" s="444">
        <f t="shared" si="8"/>
        <v>132482.37981689128</v>
      </c>
      <c r="AY42" s="444">
        <f t="shared" si="8"/>
        <v>135132.02741322911</v>
      </c>
      <c r="AZ42" s="444">
        <f t="shared" si="8"/>
        <v>137834.66796149369</v>
      </c>
      <c r="BA42" s="444">
        <f t="shared" si="8"/>
        <v>140591.36132072358</v>
      </c>
      <c r="BB42" s="444">
        <f t="shared" si="8"/>
        <v>143403.18854713804</v>
      </c>
      <c r="BC42" s="444">
        <f t="shared" si="8"/>
        <v>146271.25231808081</v>
      </c>
      <c r="BD42" s="444">
        <f t="shared" si="8"/>
        <v>149196.67736444241</v>
      </c>
    </row>
    <row r="43" spans="1:56" s="159" customFormat="1" x14ac:dyDescent="0.25">
      <c r="A43" s="159" t="str">
        <f>F27</f>
        <v>Small betters</v>
      </c>
      <c r="B43" s="447">
        <f>IFERROR(B42*$H$32,"0")</f>
        <v>0</v>
      </c>
      <c r="C43" s="447">
        <f t="shared" ref="C43:N43" si="9">IFERROR(C42*$H$32,"0")</f>
        <v>0</v>
      </c>
      <c r="D43" s="447">
        <f t="shared" si="9"/>
        <v>0</v>
      </c>
      <c r="E43" s="447">
        <f t="shared" si="9"/>
        <v>0</v>
      </c>
      <c r="F43" s="447">
        <f t="shared" si="9"/>
        <v>0</v>
      </c>
      <c r="G43" s="447">
        <f t="shared" si="9"/>
        <v>0</v>
      </c>
      <c r="H43" s="447">
        <f t="shared" si="9"/>
        <v>0</v>
      </c>
      <c r="I43" s="447">
        <f t="shared" si="9"/>
        <v>0</v>
      </c>
      <c r="J43" s="447">
        <f t="shared" si="9"/>
        <v>36000</v>
      </c>
      <c r="K43" s="447">
        <f t="shared" si="9"/>
        <v>36720</v>
      </c>
      <c r="L43" s="447">
        <f t="shared" si="9"/>
        <v>37454.400000000001</v>
      </c>
      <c r="M43" s="447">
        <f t="shared" si="9"/>
        <v>38203.487999999998</v>
      </c>
      <c r="N43" s="447">
        <f t="shared" si="9"/>
        <v>38967.557760000003</v>
      </c>
      <c r="O43" s="447">
        <f t="shared" ref="O43" si="10">IFERROR(O42*$H$32,"0")</f>
        <v>39746.908915200002</v>
      </c>
      <c r="P43" s="447">
        <f t="shared" ref="P43" si="11">IFERROR(P42*$H$32,"0")</f>
        <v>40541.847093504002</v>
      </c>
      <c r="Q43" s="447">
        <f t="shared" ref="Q43" si="12">IFERROR(Q42*$H$32,"0")</f>
        <v>41352.684035374084</v>
      </c>
      <c r="R43" s="447">
        <f t="shared" ref="R43" si="13">IFERROR(R42*$H$32,"0")</f>
        <v>42179.737716081567</v>
      </c>
      <c r="S43" s="447">
        <f t="shared" ref="S43" si="14">IFERROR(S42*$H$32,"0")</f>
        <v>43023.332470403206</v>
      </c>
      <c r="T43" s="447">
        <f t="shared" ref="T43" si="15">IFERROR(T42*$H$32,"0")</f>
        <v>43883.799119811265</v>
      </c>
      <c r="U43" s="447">
        <f t="shared" ref="U43" si="16">IFERROR(U42*$H$32,"0")</f>
        <v>44761.475102207492</v>
      </c>
      <c r="V43" s="447">
        <f t="shared" ref="V43" si="17">IFERROR(V42*$H$32,"0")</f>
        <v>45656.704604251645</v>
      </c>
      <c r="W43" s="447">
        <f t="shared" ref="W43" si="18">IFERROR(W42*$H$32,"0")</f>
        <v>46569.838696336679</v>
      </c>
      <c r="X43" s="447">
        <f t="shared" ref="X43" si="19">IFERROR(X42*$H$32,"0")</f>
        <v>47501.235470263411</v>
      </c>
      <c r="Y43" s="447">
        <f t="shared" ref="Y43:Z43" si="20">IFERROR(Y42*$H$32,"0")</f>
        <v>48451.260179668679</v>
      </c>
      <c r="Z43" s="447">
        <f t="shared" si="20"/>
        <v>49420.285383262053</v>
      </c>
      <c r="AA43" s="447">
        <f t="shared" ref="AA43" si="21">IFERROR(AA42*$H$32,"0")</f>
        <v>50408.691090927292</v>
      </c>
      <c r="AB43" s="447">
        <f t="shared" ref="AB43" si="22">IFERROR(AB42*$H$32,"0")</f>
        <v>51416.864912745841</v>
      </c>
      <c r="AC43" s="447">
        <f t="shared" ref="AC43" si="23">IFERROR(AC42*$H$32,"0")</f>
        <v>52445.20221100076</v>
      </c>
      <c r="AD43" s="447">
        <f t="shared" ref="AD43" si="24">IFERROR(AD42*$H$32,"0")</f>
        <v>53494.10625522078</v>
      </c>
      <c r="AE43" s="447">
        <f t="shared" ref="AE43" si="25">IFERROR(AE42*$H$32,"0")</f>
        <v>54563.988380325194</v>
      </c>
      <c r="AF43" s="447">
        <f t="shared" ref="AF43" si="26">IFERROR(AF42*$H$32,"0")</f>
        <v>55655.268147931703</v>
      </c>
      <c r="AG43" s="447">
        <f t="shared" ref="AG43" si="27">IFERROR(AG42*$H$32,"0")</f>
        <v>56768.373510890342</v>
      </c>
      <c r="AH43" s="447">
        <f t="shared" ref="AH43" si="28">IFERROR(AH42*$H$32,"0")</f>
        <v>57903.740981108152</v>
      </c>
      <c r="AI43" s="447">
        <f t="shared" ref="AI43" si="29">IFERROR(AI42*$H$32,"0")</f>
        <v>59061.815800730306</v>
      </c>
      <c r="AJ43" s="447">
        <f t="shared" ref="AJ43" si="30">IFERROR(AJ42*$H$32,"0")</f>
        <v>60243.052116744919</v>
      </c>
      <c r="AK43" s="447">
        <f t="shared" ref="AK43:AL43" si="31">IFERROR(AK42*$H$32,"0")</f>
        <v>61447.913159079821</v>
      </c>
      <c r="AL43" s="447">
        <f t="shared" si="31"/>
        <v>62676.871422261414</v>
      </c>
      <c r="AM43" s="447">
        <f t="shared" ref="AM43" si="32">IFERROR(AM42*$H$32,"0")</f>
        <v>63930.408850706648</v>
      </c>
      <c r="AN43" s="447">
        <f t="shared" ref="AN43" si="33">IFERROR(AN42*$H$32,"0")</f>
        <v>65209.01702772078</v>
      </c>
      <c r="AO43" s="447">
        <f t="shared" ref="AO43" si="34">IFERROR(AO42*$H$32,"0")</f>
        <v>66513.1973682752</v>
      </c>
      <c r="AP43" s="447">
        <f t="shared" ref="AP43" si="35">IFERROR(AP42*$H$32,"0")</f>
        <v>67843.461315640699</v>
      </c>
      <c r="AQ43" s="447">
        <f t="shared" ref="AQ43" si="36">IFERROR(AQ42*$H$32,"0")</f>
        <v>69200.330541953517</v>
      </c>
      <c r="AR43" s="447">
        <f t="shared" ref="AR43" si="37">IFERROR(AR42*$H$32,"0")</f>
        <v>70584.337152792592</v>
      </c>
      <c r="AS43" s="447">
        <f t="shared" ref="AS43" si="38">IFERROR(AS42*$H$32,"0")</f>
        <v>71996.023895848441</v>
      </c>
      <c r="AT43" s="447">
        <f t="shared" ref="AT43" si="39">IFERROR(AT42*$H$32,"0")</f>
        <v>73435.944373765422</v>
      </c>
      <c r="AU43" s="447">
        <f t="shared" ref="AU43" si="40">IFERROR(AU42*$H$32,"0")</f>
        <v>74904.663261240727</v>
      </c>
      <c r="AV43" s="447">
        <f t="shared" ref="AV43" si="41">IFERROR(AV42*$H$32,"0")</f>
        <v>76402.756526465542</v>
      </c>
      <c r="AW43" s="447">
        <f t="shared" ref="AW43:AX43" si="42">IFERROR(AW42*$H$32,"0")</f>
        <v>77930.811656994862</v>
      </c>
      <c r="AX43" s="447">
        <f t="shared" si="42"/>
        <v>79489.427890134757</v>
      </c>
      <c r="AY43" s="447">
        <f t="shared" ref="AY43" si="43">IFERROR(AY42*$H$32,"0")</f>
        <v>81079.216447937462</v>
      </c>
      <c r="AZ43" s="447">
        <f t="shared" ref="AZ43" si="44">IFERROR(AZ42*$H$32,"0")</f>
        <v>82700.800776896212</v>
      </c>
      <c r="BA43" s="447">
        <f t="shared" ref="BA43" si="45">IFERROR(BA42*$H$32,"0")</f>
        <v>84354.81679243414</v>
      </c>
      <c r="BB43" s="447">
        <f t="shared" ref="BB43" si="46">IFERROR(BB42*$H$32,"0")</f>
        <v>86041.913128282817</v>
      </c>
      <c r="BC43" s="447">
        <f t="shared" ref="BC43" si="47">IFERROR(BC42*$H$32,"0")</f>
        <v>87762.751390848483</v>
      </c>
      <c r="BD43" s="447">
        <f t="shared" ref="BD43" si="48">IFERROR(BD42*$H$32,"0")</f>
        <v>89518.006418665449</v>
      </c>
    </row>
    <row r="44" spans="1:56" s="159" customFormat="1" x14ac:dyDescent="0.25">
      <c r="A44" s="159" t="str">
        <f>F28</f>
        <v>Medium betters</v>
      </c>
      <c r="B44" s="447">
        <f>IFERROR(B42*$H$33,"0")</f>
        <v>0</v>
      </c>
      <c r="C44" s="447">
        <f t="shared" ref="C44:BD44" si="49">IFERROR(C42*$H$33,"0")</f>
        <v>0</v>
      </c>
      <c r="D44" s="447">
        <f t="shared" si="49"/>
        <v>0</v>
      </c>
      <c r="E44" s="447">
        <f t="shared" si="49"/>
        <v>0</v>
      </c>
      <c r="F44" s="447">
        <f t="shared" si="49"/>
        <v>0</v>
      </c>
      <c r="G44" s="447">
        <f t="shared" si="49"/>
        <v>0</v>
      </c>
      <c r="H44" s="447">
        <f t="shared" si="49"/>
        <v>0</v>
      </c>
      <c r="I44" s="447">
        <f t="shared" si="49"/>
        <v>0</v>
      </c>
      <c r="J44" s="447">
        <f t="shared" si="49"/>
        <v>21000</v>
      </c>
      <c r="K44" s="447">
        <f t="shared" si="49"/>
        <v>21420</v>
      </c>
      <c r="L44" s="447">
        <f t="shared" si="49"/>
        <v>21848.399999999998</v>
      </c>
      <c r="M44" s="447">
        <f t="shared" si="49"/>
        <v>22285.367999999999</v>
      </c>
      <c r="N44" s="447">
        <f t="shared" si="49"/>
        <v>22731.075359999999</v>
      </c>
      <c r="O44" s="447">
        <f t="shared" si="49"/>
        <v>23185.6968672</v>
      </c>
      <c r="P44" s="447">
        <f t="shared" si="49"/>
        <v>23649.410804544001</v>
      </c>
      <c r="Q44" s="447">
        <f t="shared" si="49"/>
        <v>24122.399020634883</v>
      </c>
      <c r="R44" s="447">
        <f t="shared" si="49"/>
        <v>24604.847001047579</v>
      </c>
      <c r="S44" s="447">
        <f t="shared" si="49"/>
        <v>25096.943941068534</v>
      </c>
      <c r="T44" s="447">
        <f t="shared" si="49"/>
        <v>25598.882819889906</v>
      </c>
      <c r="U44" s="447">
        <f t="shared" si="49"/>
        <v>26110.860476287704</v>
      </c>
      <c r="V44" s="447">
        <f t="shared" si="49"/>
        <v>26633.07768581346</v>
      </c>
      <c r="W44" s="447">
        <f t="shared" si="49"/>
        <v>27165.739239529728</v>
      </c>
      <c r="X44" s="447">
        <f t="shared" si="49"/>
        <v>27709.054024320325</v>
      </c>
      <c r="Y44" s="447">
        <f t="shared" si="49"/>
        <v>28263.235104806728</v>
      </c>
      <c r="Z44" s="447">
        <f t="shared" si="49"/>
        <v>28828.499806902866</v>
      </c>
      <c r="AA44" s="447">
        <f t="shared" si="49"/>
        <v>29405.069803040922</v>
      </c>
      <c r="AB44" s="447">
        <f t="shared" si="49"/>
        <v>29993.17119910174</v>
      </c>
      <c r="AC44" s="447">
        <f t="shared" si="49"/>
        <v>30593.034623083779</v>
      </c>
      <c r="AD44" s="447">
        <f t="shared" si="49"/>
        <v>31204.895315545455</v>
      </c>
      <c r="AE44" s="447">
        <f t="shared" si="49"/>
        <v>31828.993221856363</v>
      </c>
      <c r="AF44" s="447">
        <f t="shared" si="49"/>
        <v>32465.573086293491</v>
      </c>
      <c r="AG44" s="447">
        <f t="shared" si="49"/>
        <v>33114.884548019363</v>
      </c>
      <c r="AH44" s="447">
        <f t="shared" si="49"/>
        <v>33777.182238979753</v>
      </c>
      <c r="AI44" s="447">
        <f t="shared" si="49"/>
        <v>34452.725883759347</v>
      </c>
      <c r="AJ44" s="447">
        <f t="shared" si="49"/>
        <v>35141.780401434538</v>
      </c>
      <c r="AK44" s="447">
        <f t="shared" si="49"/>
        <v>35844.616009463229</v>
      </c>
      <c r="AL44" s="447">
        <f t="shared" si="49"/>
        <v>36561.50832965249</v>
      </c>
      <c r="AM44" s="447">
        <f t="shared" si="49"/>
        <v>37292.738496245547</v>
      </c>
      <c r="AN44" s="447">
        <f t="shared" si="49"/>
        <v>38038.593266170457</v>
      </c>
      <c r="AO44" s="447">
        <f t="shared" si="49"/>
        <v>38799.365131493869</v>
      </c>
      <c r="AP44" s="447">
        <f t="shared" si="49"/>
        <v>39575.352434123743</v>
      </c>
      <c r="AQ44" s="447">
        <f t="shared" si="49"/>
        <v>40366.85948280622</v>
      </c>
      <c r="AR44" s="447">
        <f t="shared" si="49"/>
        <v>41174.196672462342</v>
      </c>
      <c r="AS44" s="447">
        <f t="shared" si="49"/>
        <v>41997.680605911592</v>
      </c>
      <c r="AT44" s="447">
        <f t="shared" si="49"/>
        <v>42837.634218029823</v>
      </c>
      <c r="AU44" s="447">
        <f t="shared" si="49"/>
        <v>43694.386902390426</v>
      </c>
      <c r="AV44" s="447">
        <f t="shared" si="49"/>
        <v>44568.274640438234</v>
      </c>
      <c r="AW44" s="447">
        <f t="shared" si="49"/>
        <v>45459.640133247005</v>
      </c>
      <c r="AX44" s="447">
        <f t="shared" si="49"/>
        <v>46368.832935911945</v>
      </c>
      <c r="AY44" s="447">
        <f t="shared" si="49"/>
        <v>47296.209594630185</v>
      </c>
      <c r="AZ44" s="447">
        <f t="shared" si="49"/>
        <v>48242.133786522791</v>
      </c>
      <c r="BA44" s="447">
        <f t="shared" si="49"/>
        <v>49206.976462253246</v>
      </c>
      <c r="BB44" s="447">
        <f t="shared" si="49"/>
        <v>50191.115991498307</v>
      </c>
      <c r="BC44" s="447">
        <f t="shared" si="49"/>
        <v>51194.938311328282</v>
      </c>
      <c r="BD44" s="447">
        <f t="shared" si="49"/>
        <v>52218.837077554839</v>
      </c>
    </row>
    <row r="45" spans="1:56" s="159" customFormat="1" x14ac:dyDescent="0.25">
      <c r="A45" s="159" t="str">
        <f>F29</f>
        <v>Large betters</v>
      </c>
      <c r="B45" s="447">
        <f>IFERROR(B42*$H$34,"0")</f>
        <v>0</v>
      </c>
      <c r="C45" s="447">
        <f t="shared" ref="C45:BD45" si="50">IFERROR(C42*$H$34,"0")</f>
        <v>0</v>
      </c>
      <c r="D45" s="447">
        <f t="shared" si="50"/>
        <v>0</v>
      </c>
      <c r="E45" s="447">
        <f t="shared" si="50"/>
        <v>0</v>
      </c>
      <c r="F45" s="447">
        <f t="shared" si="50"/>
        <v>0</v>
      </c>
      <c r="G45" s="447">
        <f t="shared" si="50"/>
        <v>0</v>
      </c>
      <c r="H45" s="447">
        <f t="shared" si="50"/>
        <v>0</v>
      </c>
      <c r="I45" s="447">
        <f t="shared" si="50"/>
        <v>0</v>
      </c>
      <c r="J45" s="447">
        <f t="shared" si="50"/>
        <v>3000</v>
      </c>
      <c r="K45" s="447">
        <f t="shared" si="50"/>
        <v>3060</v>
      </c>
      <c r="L45" s="447">
        <f t="shared" si="50"/>
        <v>3121.2000000000003</v>
      </c>
      <c r="M45" s="447">
        <f t="shared" si="50"/>
        <v>3183.6240000000003</v>
      </c>
      <c r="N45" s="447">
        <f t="shared" si="50"/>
        <v>3247.2964800000004</v>
      </c>
      <c r="O45" s="447">
        <f t="shared" si="50"/>
        <v>3312.2424096000004</v>
      </c>
      <c r="P45" s="447">
        <f t="shared" si="50"/>
        <v>3378.4872577920005</v>
      </c>
      <c r="Q45" s="447">
        <f t="shared" si="50"/>
        <v>3446.0570029478404</v>
      </c>
      <c r="R45" s="447">
        <f t="shared" si="50"/>
        <v>3514.9781430067978</v>
      </c>
      <c r="S45" s="447">
        <f t="shared" si="50"/>
        <v>3585.277705866934</v>
      </c>
      <c r="T45" s="447">
        <f t="shared" si="50"/>
        <v>3656.9832599842725</v>
      </c>
      <c r="U45" s="447">
        <f t="shared" si="50"/>
        <v>3730.1229251839577</v>
      </c>
      <c r="V45" s="447">
        <f t="shared" si="50"/>
        <v>3804.7253836876371</v>
      </c>
      <c r="W45" s="447">
        <f t="shared" si="50"/>
        <v>3880.8198913613905</v>
      </c>
      <c r="X45" s="447">
        <f t="shared" si="50"/>
        <v>3958.436289188618</v>
      </c>
      <c r="Y45" s="447">
        <f t="shared" si="50"/>
        <v>4037.6050149723906</v>
      </c>
      <c r="Z45" s="447">
        <f t="shared" si="50"/>
        <v>4118.3571152718387</v>
      </c>
      <c r="AA45" s="447">
        <f t="shared" si="50"/>
        <v>4200.7242575772752</v>
      </c>
      <c r="AB45" s="447">
        <f t="shared" si="50"/>
        <v>4284.7387427288204</v>
      </c>
      <c r="AC45" s="447">
        <f t="shared" si="50"/>
        <v>4370.4335175833976</v>
      </c>
      <c r="AD45" s="447">
        <f t="shared" si="50"/>
        <v>4457.8421879350653</v>
      </c>
      <c r="AE45" s="447">
        <f t="shared" si="50"/>
        <v>4546.9990316937665</v>
      </c>
      <c r="AF45" s="447">
        <f t="shared" si="50"/>
        <v>4637.9390123276416</v>
      </c>
      <c r="AG45" s="447">
        <f t="shared" si="50"/>
        <v>4730.6977925741949</v>
      </c>
      <c r="AH45" s="447">
        <f t="shared" si="50"/>
        <v>4825.3117484256791</v>
      </c>
      <c r="AI45" s="447">
        <f t="shared" si="50"/>
        <v>4921.8179833941931</v>
      </c>
      <c r="AJ45" s="447">
        <f t="shared" si="50"/>
        <v>5020.2543430620772</v>
      </c>
      <c r="AK45" s="447">
        <f t="shared" si="50"/>
        <v>5120.6594299233184</v>
      </c>
      <c r="AL45" s="447">
        <f t="shared" si="50"/>
        <v>5223.0726185217854</v>
      </c>
      <c r="AM45" s="447">
        <f t="shared" si="50"/>
        <v>5327.5340708922213</v>
      </c>
      <c r="AN45" s="447">
        <f t="shared" si="50"/>
        <v>5434.0847523100656</v>
      </c>
      <c r="AO45" s="447">
        <f t="shared" si="50"/>
        <v>5542.7664473562672</v>
      </c>
      <c r="AP45" s="447">
        <f t="shared" si="50"/>
        <v>5653.6217763033928</v>
      </c>
      <c r="AQ45" s="447">
        <f t="shared" si="50"/>
        <v>5766.694211829461</v>
      </c>
      <c r="AR45" s="447">
        <f t="shared" si="50"/>
        <v>5882.0280960660493</v>
      </c>
      <c r="AS45" s="447">
        <f t="shared" si="50"/>
        <v>5999.6686579873713</v>
      </c>
      <c r="AT45" s="447">
        <f t="shared" si="50"/>
        <v>6119.6620311471188</v>
      </c>
      <c r="AU45" s="447">
        <f t="shared" si="50"/>
        <v>6242.0552717700612</v>
      </c>
      <c r="AV45" s="447">
        <f t="shared" si="50"/>
        <v>6366.8963772054631</v>
      </c>
      <c r="AW45" s="447">
        <f t="shared" si="50"/>
        <v>6494.2343047495724</v>
      </c>
      <c r="AX45" s="447">
        <f t="shared" si="50"/>
        <v>6624.118990844564</v>
      </c>
      <c r="AY45" s="447">
        <f t="shared" si="50"/>
        <v>6756.6013706614558</v>
      </c>
      <c r="AZ45" s="447">
        <f t="shared" si="50"/>
        <v>6891.7333980746844</v>
      </c>
      <c r="BA45" s="447">
        <f t="shared" si="50"/>
        <v>7029.5680660361795</v>
      </c>
      <c r="BB45" s="447">
        <f t="shared" si="50"/>
        <v>7170.1594273569026</v>
      </c>
      <c r="BC45" s="447">
        <f t="shared" si="50"/>
        <v>7313.5626159040403</v>
      </c>
      <c r="BD45" s="447">
        <f t="shared" si="50"/>
        <v>7459.8338682221211</v>
      </c>
    </row>
    <row r="46" spans="1:56" s="159" customFormat="1" x14ac:dyDescent="0.25">
      <c r="A46" s="443" t="s">
        <v>551</v>
      </c>
      <c r="B46" s="448">
        <f>SUM(B47:B49)</f>
        <v>0</v>
      </c>
      <c r="C46" s="448">
        <f t="shared" ref="C46:BD46" si="51">SUM(C47:C49)</f>
        <v>0</v>
      </c>
      <c r="D46" s="448">
        <f t="shared" si="51"/>
        <v>0</v>
      </c>
      <c r="E46" s="448">
        <f t="shared" si="51"/>
        <v>0</v>
      </c>
      <c r="F46" s="448">
        <f t="shared" si="51"/>
        <v>0</v>
      </c>
      <c r="G46" s="448">
        <f t="shared" si="51"/>
        <v>0</v>
      </c>
      <c r="H46" s="448">
        <f t="shared" si="51"/>
        <v>0</v>
      </c>
      <c r="I46" s="448">
        <f t="shared" si="51"/>
        <v>0</v>
      </c>
      <c r="J46" s="448">
        <f t="shared" si="51"/>
        <v>2910000</v>
      </c>
      <c r="K46" s="448">
        <f t="shared" si="51"/>
        <v>2968200</v>
      </c>
      <c r="L46" s="448">
        <f t="shared" si="51"/>
        <v>3027564</v>
      </c>
      <c r="M46" s="448">
        <f t="shared" si="51"/>
        <v>3088115.2800000003</v>
      </c>
      <c r="N46" s="448">
        <f t="shared" si="51"/>
        <v>3149877.5855999999</v>
      </c>
      <c r="O46" s="448">
        <f t="shared" si="51"/>
        <v>3212875.1373120006</v>
      </c>
      <c r="P46" s="448">
        <f t="shared" si="51"/>
        <v>3277132.6400582404</v>
      </c>
      <c r="Q46" s="448">
        <f t="shared" si="51"/>
        <v>3342675.2928594053</v>
      </c>
      <c r="R46" s="448">
        <f t="shared" si="51"/>
        <v>3409528.7987165935</v>
      </c>
      <c r="S46" s="448">
        <f t="shared" si="51"/>
        <v>3477719.3746909257</v>
      </c>
      <c r="T46" s="448">
        <f t="shared" si="51"/>
        <v>3547273.7621847442</v>
      </c>
      <c r="U46" s="448">
        <f t="shared" si="51"/>
        <v>3618219.2374284388</v>
      </c>
      <c r="V46" s="448">
        <f t="shared" si="51"/>
        <v>3690583.6221770085</v>
      </c>
      <c r="W46" s="448">
        <f t="shared" si="51"/>
        <v>3764395.2946205484</v>
      </c>
      <c r="X46" s="448">
        <f t="shared" si="51"/>
        <v>3839683.2005129592</v>
      </c>
      <c r="Y46" s="448">
        <f t="shared" si="51"/>
        <v>3916476.8645232185</v>
      </c>
      <c r="Z46" s="448">
        <f t="shared" si="51"/>
        <v>3994806.4018136831</v>
      </c>
      <c r="AA46" s="448">
        <f t="shared" si="51"/>
        <v>4074702.5298499567</v>
      </c>
      <c r="AB46" s="448">
        <f t="shared" si="51"/>
        <v>4156196.5804469557</v>
      </c>
      <c r="AC46" s="448">
        <f t="shared" si="51"/>
        <v>4239320.5120558953</v>
      </c>
      <c r="AD46" s="448">
        <f t="shared" si="51"/>
        <v>4324106.922297013</v>
      </c>
      <c r="AE46" s="448">
        <f t="shared" si="51"/>
        <v>4410589.0607429538</v>
      </c>
      <c r="AF46" s="448">
        <f t="shared" si="51"/>
        <v>4498800.8419578122</v>
      </c>
      <c r="AG46" s="448">
        <f t="shared" si="51"/>
        <v>4588776.8587969691</v>
      </c>
      <c r="AH46" s="448">
        <f t="shared" si="51"/>
        <v>4680552.3959729094</v>
      </c>
      <c r="AI46" s="448">
        <f t="shared" si="51"/>
        <v>4774163.4438923672</v>
      </c>
      <c r="AJ46" s="448">
        <f t="shared" si="51"/>
        <v>4869646.7127702143</v>
      </c>
      <c r="AK46" s="448">
        <f t="shared" si="51"/>
        <v>4967039.6470256187</v>
      </c>
      <c r="AL46" s="448">
        <f t="shared" si="51"/>
        <v>5066380.439966131</v>
      </c>
      <c r="AM46" s="448">
        <f t="shared" si="51"/>
        <v>5167708.0487654544</v>
      </c>
      <c r="AN46" s="448">
        <f t="shared" si="51"/>
        <v>5271062.2097407635</v>
      </c>
      <c r="AO46" s="448">
        <f t="shared" si="51"/>
        <v>5376483.4539355785</v>
      </c>
      <c r="AP46" s="448">
        <f t="shared" si="51"/>
        <v>5484013.1230142899</v>
      </c>
      <c r="AQ46" s="448">
        <f t="shared" si="51"/>
        <v>5593693.3854745766</v>
      </c>
      <c r="AR46" s="448">
        <f t="shared" si="51"/>
        <v>5705567.2531840671</v>
      </c>
      <c r="AS46" s="448">
        <f t="shared" si="51"/>
        <v>5819678.5982477497</v>
      </c>
      <c r="AT46" s="448">
        <f t="shared" si="51"/>
        <v>5936072.1702127047</v>
      </c>
      <c r="AU46" s="448">
        <f t="shared" si="51"/>
        <v>6054793.6136169592</v>
      </c>
      <c r="AV46" s="448">
        <f t="shared" si="51"/>
        <v>6175889.4858892988</v>
      </c>
      <c r="AW46" s="448">
        <f t="shared" si="51"/>
        <v>6299407.2756070849</v>
      </c>
      <c r="AX46" s="448">
        <f t="shared" si="51"/>
        <v>6425395.4211192261</v>
      </c>
      <c r="AY46" s="448">
        <f t="shared" si="51"/>
        <v>6553903.3295416124</v>
      </c>
      <c r="AZ46" s="448">
        <f t="shared" si="51"/>
        <v>6684981.396132444</v>
      </c>
      <c r="BA46" s="448">
        <f t="shared" si="51"/>
        <v>6818681.0240550935</v>
      </c>
      <c r="BB46" s="448">
        <f t="shared" si="51"/>
        <v>6955054.6445361953</v>
      </c>
      <c r="BC46" s="448">
        <f t="shared" si="51"/>
        <v>7094155.7374269199</v>
      </c>
      <c r="BD46" s="448">
        <f t="shared" si="51"/>
        <v>7236038.8521754574</v>
      </c>
    </row>
    <row r="47" spans="1:56" s="159" customFormat="1" x14ac:dyDescent="0.25">
      <c r="A47" s="445" t="str">
        <f>A43</f>
        <v>Small betters</v>
      </c>
      <c r="B47" s="449">
        <f>IFERROR(B43*$H$27,"0")</f>
        <v>0</v>
      </c>
      <c r="C47" s="449">
        <f t="shared" ref="C47:BD47" si="52">IFERROR(C43*$H$27,"0")</f>
        <v>0</v>
      </c>
      <c r="D47" s="449">
        <f t="shared" si="52"/>
        <v>0</v>
      </c>
      <c r="E47" s="449">
        <f t="shared" si="52"/>
        <v>0</v>
      </c>
      <c r="F47" s="449">
        <f t="shared" si="52"/>
        <v>0</v>
      </c>
      <c r="G47" s="449">
        <f t="shared" si="52"/>
        <v>0</v>
      </c>
      <c r="H47" s="449">
        <f t="shared" si="52"/>
        <v>0</v>
      </c>
      <c r="I47" s="449">
        <f t="shared" si="52"/>
        <v>0</v>
      </c>
      <c r="J47" s="449">
        <f t="shared" si="52"/>
        <v>360000</v>
      </c>
      <c r="K47" s="449">
        <f t="shared" si="52"/>
        <v>367200</v>
      </c>
      <c r="L47" s="449">
        <f t="shared" si="52"/>
        <v>374544</v>
      </c>
      <c r="M47" s="449">
        <f t="shared" si="52"/>
        <v>382034.88</v>
      </c>
      <c r="N47" s="449">
        <f t="shared" si="52"/>
        <v>389675.57760000002</v>
      </c>
      <c r="O47" s="449">
        <f t="shared" si="52"/>
        <v>397469.08915200003</v>
      </c>
      <c r="P47" s="449">
        <f t="shared" si="52"/>
        <v>405418.47093504004</v>
      </c>
      <c r="Q47" s="449">
        <f t="shared" si="52"/>
        <v>413526.84035374084</v>
      </c>
      <c r="R47" s="449">
        <f t="shared" si="52"/>
        <v>421797.37716081564</v>
      </c>
      <c r="S47" s="449">
        <f t="shared" si="52"/>
        <v>430233.32470403204</v>
      </c>
      <c r="T47" s="449">
        <f t="shared" si="52"/>
        <v>438837.99119811266</v>
      </c>
      <c r="U47" s="449">
        <f t="shared" si="52"/>
        <v>447614.75102207495</v>
      </c>
      <c r="V47" s="449">
        <f t="shared" si="52"/>
        <v>456567.04604251648</v>
      </c>
      <c r="W47" s="449">
        <f t="shared" si="52"/>
        <v>465698.38696336676</v>
      </c>
      <c r="X47" s="449">
        <f t="shared" si="52"/>
        <v>475012.3547026341</v>
      </c>
      <c r="Y47" s="449">
        <f t="shared" si="52"/>
        <v>484512.60179668677</v>
      </c>
      <c r="Z47" s="449">
        <f t="shared" si="52"/>
        <v>494202.85383262055</v>
      </c>
      <c r="AA47" s="449">
        <f t="shared" si="52"/>
        <v>504086.9109092729</v>
      </c>
      <c r="AB47" s="449">
        <f t="shared" si="52"/>
        <v>514168.6491274584</v>
      </c>
      <c r="AC47" s="449">
        <f t="shared" si="52"/>
        <v>524452.02211000759</v>
      </c>
      <c r="AD47" s="449">
        <f t="shared" si="52"/>
        <v>534941.06255220785</v>
      </c>
      <c r="AE47" s="449">
        <f t="shared" si="52"/>
        <v>545639.8838032519</v>
      </c>
      <c r="AF47" s="449">
        <f t="shared" si="52"/>
        <v>556552.68147931702</v>
      </c>
      <c r="AG47" s="449">
        <f t="shared" si="52"/>
        <v>567683.73510890338</v>
      </c>
      <c r="AH47" s="449">
        <f t="shared" si="52"/>
        <v>579037.40981108148</v>
      </c>
      <c r="AI47" s="449">
        <f t="shared" si="52"/>
        <v>590618.15800730302</v>
      </c>
      <c r="AJ47" s="449">
        <f t="shared" si="52"/>
        <v>602430.52116744919</v>
      </c>
      <c r="AK47" s="449">
        <f t="shared" si="52"/>
        <v>614479.13159079826</v>
      </c>
      <c r="AL47" s="449">
        <f t="shared" si="52"/>
        <v>626768.71422261419</v>
      </c>
      <c r="AM47" s="449">
        <f t="shared" si="52"/>
        <v>639304.08850706648</v>
      </c>
      <c r="AN47" s="449">
        <f t="shared" si="52"/>
        <v>652090.17027720786</v>
      </c>
      <c r="AO47" s="449">
        <f t="shared" si="52"/>
        <v>665131.973682752</v>
      </c>
      <c r="AP47" s="449">
        <f t="shared" si="52"/>
        <v>678434.61315640702</v>
      </c>
      <c r="AQ47" s="449">
        <f t="shared" si="52"/>
        <v>692003.30541953514</v>
      </c>
      <c r="AR47" s="449">
        <f t="shared" si="52"/>
        <v>705843.37152792595</v>
      </c>
      <c r="AS47" s="449">
        <f t="shared" si="52"/>
        <v>719960.23895848438</v>
      </c>
      <c r="AT47" s="449">
        <f t="shared" si="52"/>
        <v>734359.44373765425</v>
      </c>
      <c r="AU47" s="449">
        <f t="shared" si="52"/>
        <v>749046.63261240721</v>
      </c>
      <c r="AV47" s="449">
        <f t="shared" si="52"/>
        <v>764027.56526465539</v>
      </c>
      <c r="AW47" s="449">
        <f t="shared" si="52"/>
        <v>779308.11656994862</v>
      </c>
      <c r="AX47" s="449">
        <f t="shared" si="52"/>
        <v>794894.27890134754</v>
      </c>
      <c r="AY47" s="449">
        <f t="shared" si="52"/>
        <v>810792.16447937465</v>
      </c>
      <c r="AZ47" s="449">
        <f t="shared" si="52"/>
        <v>827008.00776896207</v>
      </c>
      <c r="BA47" s="449">
        <f t="shared" si="52"/>
        <v>843548.1679243414</v>
      </c>
      <c r="BB47" s="449">
        <f t="shared" si="52"/>
        <v>860419.13128282817</v>
      </c>
      <c r="BC47" s="449">
        <f t="shared" si="52"/>
        <v>877627.51390848483</v>
      </c>
      <c r="BD47" s="449">
        <f t="shared" si="52"/>
        <v>895180.06418665452</v>
      </c>
    </row>
    <row r="48" spans="1:56" s="159" customFormat="1" x14ac:dyDescent="0.25">
      <c r="A48" s="445" t="str">
        <f t="shared" ref="A48:A49" si="53">A44</f>
        <v>Medium betters</v>
      </c>
      <c r="B48" s="449">
        <f>IFERROR(B44*$H$28,"0")</f>
        <v>0</v>
      </c>
      <c r="C48" s="449">
        <f t="shared" ref="C48:BD48" si="54">IFERROR(C44*$H$28,"0")</f>
        <v>0</v>
      </c>
      <c r="D48" s="449">
        <f t="shared" si="54"/>
        <v>0</v>
      </c>
      <c r="E48" s="449">
        <f t="shared" si="54"/>
        <v>0</v>
      </c>
      <c r="F48" s="449">
        <f t="shared" si="54"/>
        <v>0</v>
      </c>
      <c r="G48" s="449">
        <f t="shared" si="54"/>
        <v>0</v>
      </c>
      <c r="H48" s="449">
        <f t="shared" si="54"/>
        <v>0</v>
      </c>
      <c r="I48" s="449">
        <f t="shared" si="54"/>
        <v>0</v>
      </c>
      <c r="J48" s="449">
        <f t="shared" si="54"/>
        <v>1050000</v>
      </c>
      <c r="K48" s="449">
        <f t="shared" si="54"/>
        <v>1071000</v>
      </c>
      <c r="L48" s="449">
        <f t="shared" si="54"/>
        <v>1092420</v>
      </c>
      <c r="M48" s="449">
        <f t="shared" si="54"/>
        <v>1114268.3999999999</v>
      </c>
      <c r="N48" s="449">
        <f t="shared" si="54"/>
        <v>1136553.7679999999</v>
      </c>
      <c r="O48" s="449">
        <f t="shared" si="54"/>
        <v>1159284.8433600001</v>
      </c>
      <c r="P48" s="449">
        <f t="shared" si="54"/>
        <v>1182470.5402272001</v>
      </c>
      <c r="Q48" s="449">
        <f t="shared" si="54"/>
        <v>1206119.951031744</v>
      </c>
      <c r="R48" s="449">
        <f t="shared" si="54"/>
        <v>1230242.3500523791</v>
      </c>
      <c r="S48" s="449">
        <f t="shared" si="54"/>
        <v>1254847.1970534266</v>
      </c>
      <c r="T48" s="449">
        <f t="shared" si="54"/>
        <v>1279944.1409944952</v>
      </c>
      <c r="U48" s="449">
        <f t="shared" si="54"/>
        <v>1305543.0238143853</v>
      </c>
      <c r="V48" s="449">
        <f t="shared" si="54"/>
        <v>1331653.8842906731</v>
      </c>
      <c r="W48" s="449">
        <f t="shared" si="54"/>
        <v>1358286.9619764865</v>
      </c>
      <c r="X48" s="449">
        <f t="shared" si="54"/>
        <v>1385452.7012160162</v>
      </c>
      <c r="Y48" s="449">
        <f t="shared" si="54"/>
        <v>1413161.7552403365</v>
      </c>
      <c r="Z48" s="449">
        <f t="shared" si="54"/>
        <v>1441424.9903451432</v>
      </c>
      <c r="AA48" s="449">
        <f t="shared" si="54"/>
        <v>1470253.4901520461</v>
      </c>
      <c r="AB48" s="449">
        <f t="shared" si="54"/>
        <v>1499658.559955087</v>
      </c>
      <c r="AC48" s="449">
        <f t="shared" si="54"/>
        <v>1529651.731154189</v>
      </c>
      <c r="AD48" s="449">
        <f t="shared" si="54"/>
        <v>1560244.7657772726</v>
      </c>
      <c r="AE48" s="449">
        <f t="shared" si="54"/>
        <v>1591449.6610928182</v>
      </c>
      <c r="AF48" s="449">
        <f t="shared" si="54"/>
        <v>1623278.6543146744</v>
      </c>
      <c r="AG48" s="449">
        <f t="shared" si="54"/>
        <v>1655744.2274009681</v>
      </c>
      <c r="AH48" s="449">
        <f t="shared" si="54"/>
        <v>1688859.1119489877</v>
      </c>
      <c r="AI48" s="449">
        <f t="shared" si="54"/>
        <v>1722636.2941879674</v>
      </c>
      <c r="AJ48" s="449">
        <f t="shared" si="54"/>
        <v>1757089.020071727</v>
      </c>
      <c r="AK48" s="449">
        <f t="shared" si="54"/>
        <v>1792230.8004731615</v>
      </c>
      <c r="AL48" s="449">
        <f t="shared" si="54"/>
        <v>1828075.4164826246</v>
      </c>
      <c r="AM48" s="449">
        <f t="shared" si="54"/>
        <v>1864636.9248122773</v>
      </c>
      <c r="AN48" s="449">
        <f t="shared" si="54"/>
        <v>1901929.6633085229</v>
      </c>
      <c r="AO48" s="449">
        <f t="shared" si="54"/>
        <v>1939968.2565746934</v>
      </c>
      <c r="AP48" s="449">
        <f t="shared" si="54"/>
        <v>1978767.621706187</v>
      </c>
      <c r="AQ48" s="449">
        <f t="shared" si="54"/>
        <v>2018342.9741403109</v>
      </c>
      <c r="AR48" s="449">
        <f t="shared" si="54"/>
        <v>2058709.8336231171</v>
      </c>
      <c r="AS48" s="449">
        <f t="shared" si="54"/>
        <v>2099884.0302955797</v>
      </c>
      <c r="AT48" s="449">
        <f t="shared" si="54"/>
        <v>2141881.7109014913</v>
      </c>
      <c r="AU48" s="449">
        <f t="shared" si="54"/>
        <v>2184719.3451195215</v>
      </c>
      <c r="AV48" s="449">
        <f t="shared" si="54"/>
        <v>2228413.7320219115</v>
      </c>
      <c r="AW48" s="449">
        <f t="shared" si="54"/>
        <v>2272982.0066623501</v>
      </c>
      <c r="AX48" s="449">
        <f t="shared" si="54"/>
        <v>2318441.6467955974</v>
      </c>
      <c r="AY48" s="449">
        <f t="shared" si="54"/>
        <v>2364810.4797315095</v>
      </c>
      <c r="AZ48" s="449">
        <f t="shared" si="54"/>
        <v>2412106.6893261396</v>
      </c>
      <c r="BA48" s="449">
        <f t="shared" si="54"/>
        <v>2460348.8231126624</v>
      </c>
      <c r="BB48" s="449">
        <f t="shared" si="54"/>
        <v>2509555.7995749153</v>
      </c>
      <c r="BC48" s="449">
        <f t="shared" si="54"/>
        <v>2559746.9155664141</v>
      </c>
      <c r="BD48" s="449">
        <f t="shared" si="54"/>
        <v>2610941.8538777418</v>
      </c>
    </row>
    <row r="49" spans="1:56" s="159" customFormat="1" x14ac:dyDescent="0.25">
      <c r="A49" s="445" t="str">
        <f t="shared" si="53"/>
        <v>Large betters</v>
      </c>
      <c r="B49" s="449">
        <f>IFERROR(B45*$H$29,"0")</f>
        <v>0</v>
      </c>
      <c r="C49" s="449">
        <f t="shared" ref="C49:BD49" si="55">IFERROR(C45*$H$29,"0")</f>
        <v>0</v>
      </c>
      <c r="D49" s="449">
        <f t="shared" si="55"/>
        <v>0</v>
      </c>
      <c r="E49" s="449">
        <f t="shared" si="55"/>
        <v>0</v>
      </c>
      <c r="F49" s="449">
        <f t="shared" si="55"/>
        <v>0</v>
      </c>
      <c r="G49" s="449">
        <f t="shared" si="55"/>
        <v>0</v>
      </c>
      <c r="H49" s="449">
        <f t="shared" si="55"/>
        <v>0</v>
      </c>
      <c r="I49" s="449">
        <f t="shared" si="55"/>
        <v>0</v>
      </c>
      <c r="J49" s="449">
        <f t="shared" si="55"/>
        <v>1500000</v>
      </c>
      <c r="K49" s="449">
        <f t="shared" si="55"/>
        <v>1530000</v>
      </c>
      <c r="L49" s="449">
        <f t="shared" si="55"/>
        <v>1560600.0000000002</v>
      </c>
      <c r="M49" s="449">
        <f t="shared" si="55"/>
        <v>1591812.0000000002</v>
      </c>
      <c r="N49" s="449">
        <f t="shared" si="55"/>
        <v>1623648.2400000002</v>
      </c>
      <c r="O49" s="449">
        <f t="shared" si="55"/>
        <v>1656121.2048000002</v>
      </c>
      <c r="P49" s="449">
        <f t="shared" si="55"/>
        <v>1689243.6288960003</v>
      </c>
      <c r="Q49" s="449">
        <f t="shared" si="55"/>
        <v>1723028.5014739202</v>
      </c>
      <c r="R49" s="449">
        <f t="shared" si="55"/>
        <v>1757489.0715033989</v>
      </c>
      <c r="S49" s="449">
        <f t="shared" si="55"/>
        <v>1792638.8529334669</v>
      </c>
      <c r="T49" s="449">
        <f t="shared" si="55"/>
        <v>1828491.6299921363</v>
      </c>
      <c r="U49" s="449">
        <f t="shared" si="55"/>
        <v>1865061.462591979</v>
      </c>
      <c r="V49" s="449">
        <f t="shared" si="55"/>
        <v>1902362.6918438186</v>
      </c>
      <c r="W49" s="449">
        <f t="shared" si="55"/>
        <v>1940409.9456806954</v>
      </c>
      <c r="X49" s="449">
        <f t="shared" si="55"/>
        <v>1979218.1445943089</v>
      </c>
      <c r="Y49" s="449">
        <f t="shared" si="55"/>
        <v>2018802.5074861953</v>
      </c>
      <c r="Z49" s="449">
        <f t="shared" si="55"/>
        <v>2059178.5576359194</v>
      </c>
      <c r="AA49" s="449">
        <f t="shared" si="55"/>
        <v>2100362.1287886375</v>
      </c>
      <c r="AB49" s="449">
        <f t="shared" si="55"/>
        <v>2142369.37136441</v>
      </c>
      <c r="AC49" s="449">
        <f t="shared" si="55"/>
        <v>2185216.7587916986</v>
      </c>
      <c r="AD49" s="449">
        <f t="shared" si="55"/>
        <v>2228921.0939675327</v>
      </c>
      <c r="AE49" s="449">
        <f t="shared" si="55"/>
        <v>2273499.5158468834</v>
      </c>
      <c r="AF49" s="449">
        <f t="shared" si="55"/>
        <v>2318969.5061638206</v>
      </c>
      <c r="AG49" s="449">
        <f t="shared" si="55"/>
        <v>2365348.8962870976</v>
      </c>
      <c r="AH49" s="449">
        <f t="shared" si="55"/>
        <v>2412655.8742128396</v>
      </c>
      <c r="AI49" s="449">
        <f t="shared" si="55"/>
        <v>2460908.9916970967</v>
      </c>
      <c r="AJ49" s="449">
        <f t="shared" si="55"/>
        <v>2510127.1715310384</v>
      </c>
      <c r="AK49" s="449">
        <f t="shared" si="55"/>
        <v>2560329.7149616592</v>
      </c>
      <c r="AL49" s="449">
        <f t="shared" si="55"/>
        <v>2611536.3092608927</v>
      </c>
      <c r="AM49" s="449">
        <f t="shared" si="55"/>
        <v>2663767.0354461106</v>
      </c>
      <c r="AN49" s="449">
        <f t="shared" si="55"/>
        <v>2717042.3761550328</v>
      </c>
      <c r="AO49" s="449">
        <f t="shared" si="55"/>
        <v>2771383.2236781335</v>
      </c>
      <c r="AP49" s="449">
        <f t="shared" si="55"/>
        <v>2826810.8881516964</v>
      </c>
      <c r="AQ49" s="449">
        <f t="shared" si="55"/>
        <v>2883347.1059147306</v>
      </c>
      <c r="AR49" s="449">
        <f t="shared" si="55"/>
        <v>2941014.0480330247</v>
      </c>
      <c r="AS49" s="449">
        <f t="shared" si="55"/>
        <v>2999834.3289936855</v>
      </c>
      <c r="AT49" s="449">
        <f t="shared" si="55"/>
        <v>3059831.0155735593</v>
      </c>
      <c r="AU49" s="449">
        <f t="shared" si="55"/>
        <v>3121027.6358850305</v>
      </c>
      <c r="AV49" s="449">
        <f t="shared" si="55"/>
        <v>3183448.1886027316</v>
      </c>
      <c r="AW49" s="449">
        <f t="shared" si="55"/>
        <v>3247117.1523747863</v>
      </c>
      <c r="AX49" s="449">
        <f t="shared" si="55"/>
        <v>3312059.4954222818</v>
      </c>
      <c r="AY49" s="449">
        <f t="shared" si="55"/>
        <v>3378300.6853307281</v>
      </c>
      <c r="AZ49" s="449">
        <f t="shared" si="55"/>
        <v>3445866.6990373423</v>
      </c>
      <c r="BA49" s="449">
        <f t="shared" si="55"/>
        <v>3514784.0330180898</v>
      </c>
      <c r="BB49" s="449">
        <f t="shared" si="55"/>
        <v>3585079.7136784513</v>
      </c>
      <c r="BC49" s="449">
        <f t="shared" si="55"/>
        <v>3656781.3079520203</v>
      </c>
      <c r="BD49" s="449">
        <f t="shared" si="55"/>
        <v>3729916.9341110606</v>
      </c>
    </row>
    <row r="50" spans="1:56" s="159" customFormat="1" x14ac:dyDescent="0.25">
      <c r="A50" s="443" t="s">
        <v>552</v>
      </c>
      <c r="B50" s="449"/>
      <c r="C50" s="449"/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</row>
    <row r="51" spans="1:56" s="159" customFormat="1" x14ac:dyDescent="0.25">
      <c r="A51" s="445" t="str">
        <f>A47</f>
        <v>Small betters</v>
      </c>
      <c r="B51" s="449">
        <f>B47*$C$26</f>
        <v>0</v>
      </c>
      <c r="C51" s="449">
        <f t="shared" ref="C51:BD53" si="56">C47*$C$26</f>
        <v>0</v>
      </c>
      <c r="D51" s="449">
        <f t="shared" si="56"/>
        <v>0</v>
      </c>
      <c r="E51" s="449">
        <f t="shared" si="56"/>
        <v>0</v>
      </c>
      <c r="F51" s="449">
        <f t="shared" si="56"/>
        <v>0</v>
      </c>
      <c r="G51" s="449">
        <f t="shared" si="56"/>
        <v>0</v>
      </c>
      <c r="H51" s="449">
        <f t="shared" si="56"/>
        <v>0</v>
      </c>
      <c r="I51" s="449">
        <f t="shared" si="56"/>
        <v>0</v>
      </c>
      <c r="J51" s="449">
        <f t="shared" si="56"/>
        <v>36000</v>
      </c>
      <c r="K51" s="449">
        <f t="shared" si="56"/>
        <v>36720</v>
      </c>
      <c r="L51" s="449">
        <f t="shared" si="56"/>
        <v>37454.400000000001</v>
      </c>
      <c r="M51" s="449">
        <f t="shared" si="56"/>
        <v>38203.488000000005</v>
      </c>
      <c r="N51" s="449">
        <f t="shared" si="56"/>
        <v>38967.557760000003</v>
      </c>
      <c r="O51" s="449">
        <f t="shared" si="56"/>
        <v>39746.908915200009</v>
      </c>
      <c r="P51" s="449">
        <f t="shared" si="56"/>
        <v>40541.84709350401</v>
      </c>
      <c r="Q51" s="449">
        <f t="shared" si="56"/>
        <v>41352.684035374084</v>
      </c>
      <c r="R51" s="449">
        <f t="shared" si="56"/>
        <v>42179.737716081567</v>
      </c>
      <c r="S51" s="449">
        <f t="shared" si="56"/>
        <v>43023.332470403206</v>
      </c>
      <c r="T51" s="449">
        <f t="shared" si="56"/>
        <v>43883.799119811272</v>
      </c>
      <c r="U51" s="449">
        <f t="shared" si="56"/>
        <v>44761.4751022075</v>
      </c>
      <c r="V51" s="449">
        <f t="shared" si="56"/>
        <v>45656.704604251652</v>
      </c>
      <c r="W51" s="449">
        <f t="shared" si="56"/>
        <v>46569.838696336679</v>
      </c>
      <c r="X51" s="449">
        <f t="shared" si="56"/>
        <v>47501.235470263411</v>
      </c>
      <c r="Y51" s="449">
        <f t="shared" si="56"/>
        <v>48451.260179668679</v>
      </c>
      <c r="Z51" s="449">
        <f t="shared" si="56"/>
        <v>49420.28538326206</v>
      </c>
      <c r="AA51" s="449">
        <f t="shared" si="56"/>
        <v>50408.691090927292</v>
      </c>
      <c r="AB51" s="449">
        <f t="shared" si="56"/>
        <v>51416.864912745841</v>
      </c>
      <c r="AC51" s="449">
        <f t="shared" si="56"/>
        <v>52445.20221100076</v>
      </c>
      <c r="AD51" s="449">
        <f t="shared" si="56"/>
        <v>53494.106255220788</v>
      </c>
      <c r="AE51" s="449">
        <f t="shared" si="56"/>
        <v>54563.988380325194</v>
      </c>
      <c r="AF51" s="449">
        <f t="shared" si="56"/>
        <v>55655.268147931703</v>
      </c>
      <c r="AG51" s="449">
        <f t="shared" si="56"/>
        <v>56768.373510890342</v>
      </c>
      <c r="AH51" s="449">
        <f t="shared" si="56"/>
        <v>57903.740981108152</v>
      </c>
      <c r="AI51" s="449">
        <f t="shared" si="56"/>
        <v>59061.815800730306</v>
      </c>
      <c r="AJ51" s="449">
        <f t="shared" si="56"/>
        <v>60243.052116744919</v>
      </c>
      <c r="AK51" s="449">
        <f t="shared" si="56"/>
        <v>61447.913159079828</v>
      </c>
      <c r="AL51" s="449">
        <f t="shared" si="56"/>
        <v>62676.871422261422</v>
      </c>
      <c r="AM51" s="449">
        <f t="shared" si="56"/>
        <v>63930.408850706648</v>
      </c>
      <c r="AN51" s="449">
        <f t="shared" si="56"/>
        <v>65209.017027720787</v>
      </c>
      <c r="AO51" s="449">
        <f t="shared" si="56"/>
        <v>66513.1973682752</v>
      </c>
      <c r="AP51" s="449">
        <f t="shared" si="56"/>
        <v>67843.461315640699</v>
      </c>
      <c r="AQ51" s="449">
        <f t="shared" si="56"/>
        <v>69200.330541953517</v>
      </c>
      <c r="AR51" s="449">
        <f t="shared" si="56"/>
        <v>70584.337152792592</v>
      </c>
      <c r="AS51" s="449">
        <f t="shared" si="56"/>
        <v>71996.023895848441</v>
      </c>
      <c r="AT51" s="449">
        <f t="shared" si="56"/>
        <v>73435.944373765422</v>
      </c>
      <c r="AU51" s="449">
        <f t="shared" si="56"/>
        <v>74904.663261240727</v>
      </c>
      <c r="AV51" s="449">
        <f t="shared" si="56"/>
        <v>76402.756526465542</v>
      </c>
      <c r="AW51" s="449">
        <f t="shared" si="56"/>
        <v>77930.811656994862</v>
      </c>
      <c r="AX51" s="449">
        <f t="shared" si="56"/>
        <v>79489.427890134757</v>
      </c>
      <c r="AY51" s="449">
        <f t="shared" si="56"/>
        <v>81079.216447937477</v>
      </c>
      <c r="AZ51" s="449">
        <f t="shared" si="56"/>
        <v>82700.800776896212</v>
      </c>
      <c r="BA51" s="449">
        <f t="shared" si="56"/>
        <v>84354.81679243414</v>
      </c>
      <c r="BB51" s="449">
        <f t="shared" si="56"/>
        <v>86041.913128282817</v>
      </c>
      <c r="BC51" s="449">
        <f t="shared" si="56"/>
        <v>87762.751390848483</v>
      </c>
      <c r="BD51" s="449">
        <f t="shared" si="56"/>
        <v>89518.006418665464</v>
      </c>
    </row>
    <row r="52" spans="1:56" s="159" customFormat="1" x14ac:dyDescent="0.25">
      <c r="A52" s="445" t="str">
        <f t="shared" ref="A52:A53" si="57">A48</f>
        <v>Medium betters</v>
      </c>
      <c r="B52" s="449">
        <f t="shared" ref="B52:Q53" si="58">B48*$C$26</f>
        <v>0</v>
      </c>
      <c r="C52" s="449">
        <f t="shared" si="58"/>
        <v>0</v>
      </c>
      <c r="D52" s="449">
        <f t="shared" si="58"/>
        <v>0</v>
      </c>
      <c r="E52" s="449">
        <f t="shared" si="58"/>
        <v>0</v>
      </c>
      <c r="F52" s="449">
        <f t="shared" si="58"/>
        <v>0</v>
      </c>
      <c r="G52" s="449">
        <f t="shared" si="58"/>
        <v>0</v>
      </c>
      <c r="H52" s="449">
        <f t="shared" si="58"/>
        <v>0</v>
      </c>
      <c r="I52" s="449">
        <f t="shared" si="58"/>
        <v>0</v>
      </c>
      <c r="J52" s="449">
        <f t="shared" si="58"/>
        <v>105000</v>
      </c>
      <c r="K52" s="449">
        <f t="shared" si="58"/>
        <v>107100</v>
      </c>
      <c r="L52" s="449">
        <f t="shared" si="58"/>
        <v>109242</v>
      </c>
      <c r="M52" s="449">
        <f t="shared" si="58"/>
        <v>111426.84</v>
      </c>
      <c r="N52" s="449">
        <f t="shared" si="58"/>
        <v>113655.3768</v>
      </c>
      <c r="O52" s="449">
        <f t="shared" si="58"/>
        <v>115928.48433600001</v>
      </c>
      <c r="P52" s="449">
        <f t="shared" si="58"/>
        <v>118247.05402272003</v>
      </c>
      <c r="Q52" s="449">
        <f t="shared" si="58"/>
        <v>120611.99510317441</v>
      </c>
      <c r="R52" s="449">
        <f t="shared" si="56"/>
        <v>123024.23500523792</v>
      </c>
      <c r="S52" s="449">
        <f t="shared" si="56"/>
        <v>125484.71970534266</v>
      </c>
      <c r="T52" s="449">
        <f t="shared" si="56"/>
        <v>127994.41409944952</v>
      </c>
      <c r="U52" s="449">
        <f t="shared" si="56"/>
        <v>130554.30238143854</v>
      </c>
      <c r="V52" s="449">
        <f t="shared" si="56"/>
        <v>133165.3884290673</v>
      </c>
      <c r="W52" s="449">
        <f t="shared" si="56"/>
        <v>135828.69619764865</v>
      </c>
      <c r="X52" s="449">
        <f t="shared" si="56"/>
        <v>138545.27012160161</v>
      </c>
      <c r="Y52" s="449">
        <f t="shared" si="56"/>
        <v>141316.17552403366</v>
      </c>
      <c r="Z52" s="449">
        <f t="shared" si="56"/>
        <v>144142.49903451433</v>
      </c>
      <c r="AA52" s="449">
        <f t="shared" si="56"/>
        <v>147025.34901520461</v>
      </c>
      <c r="AB52" s="449">
        <f t="shared" si="56"/>
        <v>149965.8559955087</v>
      </c>
      <c r="AC52" s="449">
        <f t="shared" si="56"/>
        <v>152965.1731154189</v>
      </c>
      <c r="AD52" s="449">
        <f t="shared" si="56"/>
        <v>156024.47657772727</v>
      </c>
      <c r="AE52" s="449">
        <f t="shared" si="56"/>
        <v>159144.96610928184</v>
      </c>
      <c r="AF52" s="449">
        <f t="shared" si="56"/>
        <v>162327.86543146745</v>
      </c>
      <c r="AG52" s="449">
        <f t="shared" si="56"/>
        <v>165574.42274009681</v>
      </c>
      <c r="AH52" s="449">
        <f t="shared" si="56"/>
        <v>168885.91119489877</v>
      </c>
      <c r="AI52" s="449">
        <f t="shared" si="56"/>
        <v>172263.62941879674</v>
      </c>
      <c r="AJ52" s="449">
        <f t="shared" si="56"/>
        <v>175708.9020071727</v>
      </c>
      <c r="AK52" s="449">
        <f t="shared" si="56"/>
        <v>179223.08004731615</v>
      </c>
      <c r="AL52" s="449">
        <f t="shared" si="56"/>
        <v>182807.54164826247</v>
      </c>
      <c r="AM52" s="449">
        <f t="shared" si="56"/>
        <v>186463.69248122774</v>
      </c>
      <c r="AN52" s="449">
        <f t="shared" si="56"/>
        <v>190192.9663308523</v>
      </c>
      <c r="AO52" s="449">
        <f t="shared" si="56"/>
        <v>193996.82565746934</v>
      </c>
      <c r="AP52" s="449">
        <f t="shared" si="56"/>
        <v>197876.76217061872</v>
      </c>
      <c r="AQ52" s="449">
        <f t="shared" si="56"/>
        <v>201834.29741403111</v>
      </c>
      <c r="AR52" s="449">
        <f t="shared" si="56"/>
        <v>205870.98336231173</v>
      </c>
      <c r="AS52" s="449">
        <f t="shared" si="56"/>
        <v>209988.40302955799</v>
      </c>
      <c r="AT52" s="449">
        <f t="shared" si="56"/>
        <v>214188.17109014915</v>
      </c>
      <c r="AU52" s="449">
        <f t="shared" si="56"/>
        <v>218471.93451195216</v>
      </c>
      <c r="AV52" s="449">
        <f t="shared" si="56"/>
        <v>222841.37320219117</v>
      </c>
      <c r="AW52" s="449">
        <f t="shared" si="56"/>
        <v>227298.20066623503</v>
      </c>
      <c r="AX52" s="449">
        <f t="shared" si="56"/>
        <v>231844.16467955976</v>
      </c>
      <c r="AY52" s="449">
        <f t="shared" si="56"/>
        <v>236481.04797315097</v>
      </c>
      <c r="AZ52" s="449">
        <f t="shared" si="56"/>
        <v>241210.66893261397</v>
      </c>
      <c r="BA52" s="449">
        <f t="shared" si="56"/>
        <v>246034.88231126626</v>
      </c>
      <c r="BB52" s="449">
        <f t="shared" si="56"/>
        <v>250955.57995749154</v>
      </c>
      <c r="BC52" s="449">
        <f t="shared" si="56"/>
        <v>255974.69155664142</v>
      </c>
      <c r="BD52" s="449">
        <f t="shared" si="56"/>
        <v>261094.1853877742</v>
      </c>
    </row>
    <row r="53" spans="1:56" s="159" customFormat="1" ht="17" thickBot="1" x14ac:dyDescent="0.3">
      <c r="A53" s="445" t="str">
        <f t="shared" si="57"/>
        <v>Large betters</v>
      </c>
      <c r="B53" s="449">
        <f t="shared" si="58"/>
        <v>0</v>
      </c>
      <c r="C53" s="449">
        <f t="shared" si="56"/>
        <v>0</v>
      </c>
      <c r="D53" s="449">
        <f t="shared" si="56"/>
        <v>0</v>
      </c>
      <c r="E53" s="449">
        <f t="shared" si="56"/>
        <v>0</v>
      </c>
      <c r="F53" s="449">
        <f t="shared" si="56"/>
        <v>0</v>
      </c>
      <c r="G53" s="449">
        <f t="shared" si="56"/>
        <v>0</v>
      </c>
      <c r="H53" s="449">
        <f t="shared" si="56"/>
        <v>0</v>
      </c>
      <c r="I53" s="449">
        <f t="shared" si="56"/>
        <v>0</v>
      </c>
      <c r="J53" s="449">
        <f t="shared" si="56"/>
        <v>150000</v>
      </c>
      <c r="K53" s="449">
        <f t="shared" si="56"/>
        <v>153000</v>
      </c>
      <c r="L53" s="449">
        <f t="shared" si="56"/>
        <v>156060.00000000003</v>
      </c>
      <c r="M53" s="449">
        <f t="shared" si="56"/>
        <v>159181.20000000004</v>
      </c>
      <c r="N53" s="449">
        <f t="shared" si="56"/>
        <v>162364.82400000002</v>
      </c>
      <c r="O53" s="449">
        <f t="shared" si="56"/>
        <v>165612.12048000004</v>
      </c>
      <c r="P53" s="449">
        <f t="shared" si="56"/>
        <v>168924.36288960004</v>
      </c>
      <c r="Q53" s="449">
        <f t="shared" si="56"/>
        <v>172302.85014739202</v>
      </c>
      <c r="R53" s="449">
        <f t="shared" si="56"/>
        <v>175748.90715033992</v>
      </c>
      <c r="S53" s="449">
        <f t="shared" si="56"/>
        <v>179263.88529334671</v>
      </c>
      <c r="T53" s="449">
        <f t="shared" si="56"/>
        <v>182849.16299921364</v>
      </c>
      <c r="U53" s="449">
        <f t="shared" si="56"/>
        <v>186506.14625919791</v>
      </c>
      <c r="V53" s="449">
        <f t="shared" si="56"/>
        <v>190236.26918438188</v>
      </c>
      <c r="W53" s="449">
        <f t="shared" si="56"/>
        <v>194040.99456806955</v>
      </c>
      <c r="X53" s="449">
        <f t="shared" si="56"/>
        <v>197921.8144594309</v>
      </c>
      <c r="Y53" s="449">
        <f t="shared" si="56"/>
        <v>201880.25074861955</v>
      </c>
      <c r="Z53" s="449">
        <f t="shared" si="56"/>
        <v>205917.85576359194</v>
      </c>
      <c r="AA53" s="449">
        <f t="shared" si="56"/>
        <v>210036.21287886376</v>
      </c>
      <c r="AB53" s="449">
        <f t="shared" si="56"/>
        <v>214236.937136441</v>
      </c>
      <c r="AC53" s="449">
        <f t="shared" si="56"/>
        <v>218521.67587916987</v>
      </c>
      <c r="AD53" s="449">
        <f t="shared" si="56"/>
        <v>222892.10939675328</v>
      </c>
      <c r="AE53" s="449">
        <f t="shared" si="56"/>
        <v>227349.95158468836</v>
      </c>
      <c r="AF53" s="449">
        <f t="shared" si="56"/>
        <v>231896.95061638206</v>
      </c>
      <c r="AG53" s="449">
        <f t="shared" si="56"/>
        <v>236534.88962870976</v>
      </c>
      <c r="AH53" s="449">
        <f t="shared" si="56"/>
        <v>241265.58742128397</v>
      </c>
      <c r="AI53" s="449">
        <f t="shared" si="56"/>
        <v>246090.89916970968</v>
      </c>
      <c r="AJ53" s="449">
        <f t="shared" si="56"/>
        <v>251012.71715310385</v>
      </c>
      <c r="AK53" s="449">
        <f t="shared" si="56"/>
        <v>256032.97149616593</v>
      </c>
      <c r="AL53" s="449">
        <f t="shared" si="56"/>
        <v>261153.63092608927</v>
      </c>
      <c r="AM53" s="449">
        <f t="shared" si="56"/>
        <v>266376.70354461105</v>
      </c>
      <c r="AN53" s="449">
        <f t="shared" si="56"/>
        <v>271704.23761550331</v>
      </c>
      <c r="AO53" s="449">
        <f t="shared" si="56"/>
        <v>277138.32236781338</v>
      </c>
      <c r="AP53" s="449">
        <f t="shared" si="56"/>
        <v>282681.08881516964</v>
      </c>
      <c r="AQ53" s="449">
        <f t="shared" si="56"/>
        <v>288334.71059147309</v>
      </c>
      <c r="AR53" s="449">
        <f t="shared" si="56"/>
        <v>294101.40480330249</v>
      </c>
      <c r="AS53" s="449">
        <f t="shared" si="56"/>
        <v>299983.43289936858</v>
      </c>
      <c r="AT53" s="449">
        <f t="shared" si="56"/>
        <v>305983.10155735596</v>
      </c>
      <c r="AU53" s="449">
        <f t="shared" si="56"/>
        <v>312102.76358850306</v>
      </c>
      <c r="AV53" s="449">
        <f t="shared" si="56"/>
        <v>318344.81886027317</v>
      </c>
      <c r="AW53" s="449">
        <f t="shared" si="56"/>
        <v>324711.71523747867</v>
      </c>
      <c r="AX53" s="449">
        <f t="shared" si="56"/>
        <v>331205.94954222819</v>
      </c>
      <c r="AY53" s="449">
        <f t="shared" si="56"/>
        <v>337830.06853307283</v>
      </c>
      <c r="AZ53" s="449">
        <f t="shared" si="56"/>
        <v>344586.66990373423</v>
      </c>
      <c r="BA53" s="449">
        <f t="shared" si="56"/>
        <v>351478.40330180898</v>
      </c>
      <c r="BB53" s="449">
        <f t="shared" si="56"/>
        <v>358507.97136784514</v>
      </c>
      <c r="BC53" s="449">
        <f t="shared" si="56"/>
        <v>365678.13079520204</v>
      </c>
      <c r="BD53" s="449">
        <f t="shared" si="56"/>
        <v>372991.69341110607</v>
      </c>
    </row>
    <row r="54" spans="1:56" x14ac:dyDescent="0.25">
      <c r="A54" s="113" t="s">
        <v>553</v>
      </c>
      <c r="B54" s="450">
        <f>SUM(B51:B53)</f>
        <v>0</v>
      </c>
      <c r="C54" s="450">
        <f t="shared" ref="C54:BD54" si="59">SUM(C51:C53)</f>
        <v>0</v>
      </c>
      <c r="D54" s="450">
        <f t="shared" si="59"/>
        <v>0</v>
      </c>
      <c r="E54" s="450">
        <f t="shared" si="59"/>
        <v>0</v>
      </c>
      <c r="F54" s="450">
        <f t="shared" si="59"/>
        <v>0</v>
      </c>
      <c r="G54" s="450">
        <f t="shared" si="59"/>
        <v>0</v>
      </c>
      <c r="H54" s="450">
        <f t="shared" si="59"/>
        <v>0</v>
      </c>
      <c r="I54" s="450">
        <f t="shared" si="59"/>
        <v>0</v>
      </c>
      <c r="J54" s="450">
        <f t="shared" si="59"/>
        <v>291000</v>
      </c>
      <c r="K54" s="450">
        <f t="shared" si="59"/>
        <v>296820</v>
      </c>
      <c r="L54" s="450">
        <f t="shared" si="59"/>
        <v>302756.40000000002</v>
      </c>
      <c r="M54" s="450">
        <f t="shared" si="59"/>
        <v>308811.52800000005</v>
      </c>
      <c r="N54" s="450">
        <f t="shared" si="59"/>
        <v>314987.75855999999</v>
      </c>
      <c r="O54" s="450">
        <f t="shared" si="59"/>
        <v>321287.51373120007</v>
      </c>
      <c r="P54" s="450">
        <f t="shared" si="59"/>
        <v>327713.26400582411</v>
      </c>
      <c r="Q54" s="450">
        <f t="shared" si="59"/>
        <v>334267.52928594052</v>
      </c>
      <c r="R54" s="450">
        <f t="shared" si="59"/>
        <v>340952.87987165939</v>
      </c>
      <c r="S54" s="450">
        <f t="shared" si="59"/>
        <v>347771.93746909255</v>
      </c>
      <c r="T54" s="450">
        <f t="shared" si="59"/>
        <v>354727.37621847447</v>
      </c>
      <c r="U54" s="450">
        <f t="shared" si="59"/>
        <v>361821.92374284391</v>
      </c>
      <c r="V54" s="450">
        <f t="shared" si="59"/>
        <v>369058.36221770081</v>
      </c>
      <c r="W54" s="450">
        <f t="shared" si="59"/>
        <v>376439.52946205484</v>
      </c>
      <c r="X54" s="450">
        <f t="shared" si="59"/>
        <v>383968.32005129592</v>
      </c>
      <c r="Y54" s="450">
        <f t="shared" si="59"/>
        <v>391647.68645232188</v>
      </c>
      <c r="Z54" s="450">
        <f t="shared" si="59"/>
        <v>399480.64018136833</v>
      </c>
      <c r="AA54" s="450">
        <f t="shared" si="59"/>
        <v>407470.25298499566</v>
      </c>
      <c r="AB54" s="450">
        <f t="shared" si="59"/>
        <v>415619.6580446955</v>
      </c>
      <c r="AC54" s="450">
        <f t="shared" si="59"/>
        <v>423932.05120558955</v>
      </c>
      <c r="AD54" s="450">
        <f t="shared" si="59"/>
        <v>432410.69222970132</v>
      </c>
      <c r="AE54" s="450">
        <f t="shared" si="59"/>
        <v>441058.9060742954</v>
      </c>
      <c r="AF54" s="450">
        <f t="shared" si="59"/>
        <v>449880.08419578121</v>
      </c>
      <c r="AG54" s="450">
        <f t="shared" si="59"/>
        <v>458877.68587969692</v>
      </c>
      <c r="AH54" s="450">
        <f t="shared" si="59"/>
        <v>468055.23959729087</v>
      </c>
      <c r="AI54" s="450">
        <f t="shared" si="59"/>
        <v>477416.34438923676</v>
      </c>
      <c r="AJ54" s="450">
        <f t="shared" si="59"/>
        <v>486964.67127702147</v>
      </c>
      <c r="AK54" s="450">
        <f t="shared" si="59"/>
        <v>496703.96470256191</v>
      </c>
      <c r="AL54" s="450">
        <f t="shared" si="59"/>
        <v>506638.04399661312</v>
      </c>
      <c r="AM54" s="450">
        <f t="shared" si="59"/>
        <v>516770.80487654544</v>
      </c>
      <c r="AN54" s="450">
        <f t="shared" si="59"/>
        <v>527106.22097407642</v>
      </c>
      <c r="AO54" s="450">
        <f t="shared" si="59"/>
        <v>537648.34539355792</v>
      </c>
      <c r="AP54" s="450">
        <f t="shared" si="59"/>
        <v>548401.31230142899</v>
      </c>
      <c r="AQ54" s="450">
        <f t="shared" si="59"/>
        <v>559369.33854745771</v>
      </c>
      <c r="AR54" s="450">
        <f t="shared" si="59"/>
        <v>570556.72531840682</v>
      </c>
      <c r="AS54" s="450">
        <f t="shared" si="59"/>
        <v>581967.85982477502</v>
      </c>
      <c r="AT54" s="450">
        <f t="shared" si="59"/>
        <v>593607.21702127054</v>
      </c>
      <c r="AU54" s="450">
        <f t="shared" si="59"/>
        <v>605479.36136169592</v>
      </c>
      <c r="AV54" s="450">
        <f t="shared" si="59"/>
        <v>617588.94858892984</v>
      </c>
      <c r="AW54" s="450">
        <f t="shared" si="59"/>
        <v>629940.72756070853</v>
      </c>
      <c r="AX54" s="450">
        <f t="shared" si="59"/>
        <v>642539.54211192275</v>
      </c>
      <c r="AY54" s="450">
        <f t="shared" si="59"/>
        <v>655390.33295416133</v>
      </c>
      <c r="AZ54" s="450">
        <f t="shared" si="59"/>
        <v>668498.13961324445</v>
      </c>
      <c r="BA54" s="450">
        <f t="shared" si="59"/>
        <v>681868.10240550945</v>
      </c>
      <c r="BB54" s="450">
        <f t="shared" si="59"/>
        <v>695505.46445361944</v>
      </c>
      <c r="BC54" s="450">
        <f t="shared" si="59"/>
        <v>709415.57374269189</v>
      </c>
      <c r="BD54" s="450">
        <f t="shared" si="59"/>
        <v>723603.88521754579</v>
      </c>
    </row>
    <row r="55" spans="1:56" s="74" customFormat="1" x14ac:dyDescent="0.25">
      <c r="A55" s="451" t="s">
        <v>554</v>
      </c>
      <c r="B55" s="452">
        <f>B54*$C$27</f>
        <v>0</v>
      </c>
      <c r="C55" s="452">
        <f t="shared" ref="C55:BD55" si="60">C54*$C$27</f>
        <v>0</v>
      </c>
      <c r="D55" s="452">
        <f t="shared" si="60"/>
        <v>0</v>
      </c>
      <c r="E55" s="452">
        <f t="shared" si="60"/>
        <v>0</v>
      </c>
      <c r="F55" s="452">
        <f t="shared" si="60"/>
        <v>0</v>
      </c>
      <c r="G55" s="452">
        <f t="shared" si="60"/>
        <v>0</v>
      </c>
      <c r="H55" s="452">
        <f t="shared" si="60"/>
        <v>0</v>
      </c>
      <c r="I55" s="452">
        <f t="shared" si="60"/>
        <v>0</v>
      </c>
      <c r="J55" s="452">
        <f t="shared" si="60"/>
        <v>58200</v>
      </c>
      <c r="K55" s="452">
        <f t="shared" si="60"/>
        <v>59364</v>
      </c>
      <c r="L55" s="452">
        <f t="shared" si="60"/>
        <v>60551.280000000006</v>
      </c>
      <c r="M55" s="452">
        <f t="shared" si="60"/>
        <v>61762.305600000014</v>
      </c>
      <c r="N55" s="452">
        <f t="shared" si="60"/>
        <v>62997.551712</v>
      </c>
      <c r="O55" s="452">
        <f t="shared" si="60"/>
        <v>64257.502746240018</v>
      </c>
      <c r="P55" s="452">
        <f t="shared" si="60"/>
        <v>65542.652801164819</v>
      </c>
      <c r="Q55" s="452">
        <f t="shared" si="60"/>
        <v>66853.505857188109</v>
      </c>
      <c r="R55" s="452">
        <f t="shared" si="60"/>
        <v>68190.575974331878</v>
      </c>
      <c r="S55" s="452">
        <f t="shared" si="60"/>
        <v>69554.387493818518</v>
      </c>
      <c r="T55" s="452">
        <f t="shared" si="60"/>
        <v>70945.475243694891</v>
      </c>
      <c r="U55" s="452">
        <f t="shared" si="60"/>
        <v>72364.384748568787</v>
      </c>
      <c r="V55" s="452">
        <f t="shared" si="60"/>
        <v>73811.67244354017</v>
      </c>
      <c r="W55" s="452">
        <f t="shared" si="60"/>
        <v>75287.90589241097</v>
      </c>
      <c r="X55" s="452">
        <f t="shared" si="60"/>
        <v>76793.664010259192</v>
      </c>
      <c r="Y55" s="452">
        <f t="shared" si="60"/>
        <v>78329.537290464374</v>
      </c>
      <c r="Z55" s="452">
        <f t="shared" si="60"/>
        <v>79896.128036273672</v>
      </c>
      <c r="AA55" s="452">
        <f t="shared" si="60"/>
        <v>81494.050596999135</v>
      </c>
      <c r="AB55" s="452">
        <f t="shared" si="60"/>
        <v>83123.931608939107</v>
      </c>
      <c r="AC55" s="452">
        <f t="shared" si="60"/>
        <v>84786.410241117919</v>
      </c>
      <c r="AD55" s="452">
        <f t="shared" si="60"/>
        <v>86482.138445940276</v>
      </c>
      <c r="AE55" s="452">
        <f t="shared" si="60"/>
        <v>88211.781214859089</v>
      </c>
      <c r="AF55" s="452">
        <f t="shared" si="60"/>
        <v>89976.016839156247</v>
      </c>
      <c r="AG55" s="452">
        <f t="shared" si="60"/>
        <v>91775.537175939389</v>
      </c>
      <c r="AH55" s="452">
        <f t="shared" si="60"/>
        <v>93611.047919458186</v>
      </c>
      <c r="AI55" s="452">
        <f t="shared" si="60"/>
        <v>95483.268877847353</v>
      </c>
      <c r="AJ55" s="452">
        <f t="shared" si="60"/>
        <v>97392.934255404296</v>
      </c>
      <c r="AK55" s="452">
        <f t="shared" si="60"/>
        <v>99340.792940512387</v>
      </c>
      <c r="AL55" s="452">
        <f t="shared" si="60"/>
        <v>101327.60879932262</v>
      </c>
      <c r="AM55" s="452">
        <f t="shared" si="60"/>
        <v>103354.16097530909</v>
      </c>
      <c r="AN55" s="452">
        <f t="shared" si="60"/>
        <v>105421.24419481528</v>
      </c>
      <c r="AO55" s="452">
        <f t="shared" si="60"/>
        <v>107529.66907871159</v>
      </c>
      <c r="AP55" s="452">
        <f t="shared" si="60"/>
        <v>109680.2624602858</v>
      </c>
      <c r="AQ55" s="452">
        <f t="shared" si="60"/>
        <v>111873.86770949155</v>
      </c>
      <c r="AR55" s="452">
        <f t="shared" si="60"/>
        <v>114111.34506368136</v>
      </c>
      <c r="AS55" s="452">
        <f t="shared" si="60"/>
        <v>116393.57196495502</v>
      </c>
      <c r="AT55" s="452">
        <f t="shared" si="60"/>
        <v>118721.44340425411</v>
      </c>
      <c r="AU55" s="452">
        <f t="shared" si="60"/>
        <v>121095.87227233918</v>
      </c>
      <c r="AV55" s="452">
        <f t="shared" si="60"/>
        <v>123517.78971778597</v>
      </c>
      <c r="AW55" s="452">
        <f t="shared" si="60"/>
        <v>125988.14551214171</v>
      </c>
      <c r="AX55" s="452">
        <f t="shared" si="60"/>
        <v>128507.90842238456</v>
      </c>
      <c r="AY55" s="452">
        <f t="shared" si="60"/>
        <v>131078.06659083228</v>
      </c>
      <c r="AZ55" s="452">
        <f t="shared" si="60"/>
        <v>133699.62792264888</v>
      </c>
      <c r="BA55" s="452">
        <f t="shared" si="60"/>
        <v>136373.62048110188</v>
      </c>
      <c r="BB55" s="452">
        <f t="shared" si="60"/>
        <v>139101.0928907239</v>
      </c>
      <c r="BC55" s="452">
        <f t="shared" si="60"/>
        <v>141883.11474853838</v>
      </c>
      <c r="BD55" s="452">
        <f t="shared" si="60"/>
        <v>144720.77704350915</v>
      </c>
    </row>
    <row r="56" spans="1:56" s="159" customFormat="1" x14ac:dyDescent="0.25">
      <c r="A56" s="160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</row>
    <row r="57" spans="1:56" s="151" customFormat="1" x14ac:dyDescent="0.25">
      <c r="A57" s="3" t="str">
        <f>A35</f>
        <v>API 2: Monthly subscriptions for betters for premium data</v>
      </c>
      <c r="B57" s="131">
        <f>B41</f>
        <v>44317</v>
      </c>
      <c r="C57" s="131">
        <f t="shared" ref="C57:BD57" si="61">C41</f>
        <v>44348</v>
      </c>
      <c r="D57" s="131">
        <f t="shared" si="61"/>
        <v>44379</v>
      </c>
      <c r="E57" s="131">
        <f t="shared" si="61"/>
        <v>44410</v>
      </c>
      <c r="F57" s="131">
        <f t="shared" si="61"/>
        <v>44441</v>
      </c>
      <c r="G57" s="131">
        <f t="shared" si="61"/>
        <v>44472</v>
      </c>
      <c r="H57" s="131">
        <f t="shared" si="61"/>
        <v>44503</v>
      </c>
      <c r="I57" s="131">
        <f t="shared" si="61"/>
        <v>44534</v>
      </c>
      <c r="J57" s="131">
        <f t="shared" si="61"/>
        <v>44565</v>
      </c>
      <c r="K57" s="131">
        <f t="shared" si="61"/>
        <v>44596</v>
      </c>
      <c r="L57" s="131">
        <f t="shared" si="61"/>
        <v>44627</v>
      </c>
      <c r="M57" s="131">
        <f t="shared" si="61"/>
        <v>44658</v>
      </c>
      <c r="N57" s="131">
        <f t="shared" si="61"/>
        <v>44689</v>
      </c>
      <c r="O57" s="131">
        <f t="shared" si="61"/>
        <v>44720</v>
      </c>
      <c r="P57" s="131">
        <f t="shared" si="61"/>
        <v>44751</v>
      </c>
      <c r="Q57" s="131">
        <f t="shared" si="61"/>
        <v>44782</v>
      </c>
      <c r="R57" s="131">
        <f t="shared" si="61"/>
        <v>44813</v>
      </c>
      <c r="S57" s="131">
        <f t="shared" si="61"/>
        <v>44844</v>
      </c>
      <c r="T57" s="131">
        <f t="shared" si="61"/>
        <v>44875</v>
      </c>
      <c r="U57" s="131">
        <f t="shared" si="61"/>
        <v>44906</v>
      </c>
      <c r="V57" s="131">
        <f t="shared" si="61"/>
        <v>44937</v>
      </c>
      <c r="W57" s="131">
        <f t="shared" si="61"/>
        <v>44968</v>
      </c>
      <c r="X57" s="131">
        <f t="shared" si="61"/>
        <v>44999</v>
      </c>
      <c r="Y57" s="131">
        <f t="shared" si="61"/>
        <v>45030</v>
      </c>
      <c r="Z57" s="131">
        <f t="shared" si="61"/>
        <v>45061</v>
      </c>
      <c r="AA57" s="131">
        <f t="shared" si="61"/>
        <v>45092</v>
      </c>
      <c r="AB57" s="131">
        <f t="shared" si="61"/>
        <v>45123</v>
      </c>
      <c r="AC57" s="131">
        <f t="shared" si="61"/>
        <v>45154</v>
      </c>
      <c r="AD57" s="131">
        <f t="shared" si="61"/>
        <v>45185</v>
      </c>
      <c r="AE57" s="131">
        <f t="shared" si="61"/>
        <v>45216</v>
      </c>
      <c r="AF57" s="131">
        <f t="shared" si="61"/>
        <v>45247</v>
      </c>
      <c r="AG57" s="131">
        <f t="shared" si="61"/>
        <v>45278</v>
      </c>
      <c r="AH57" s="131">
        <f t="shared" si="61"/>
        <v>45309</v>
      </c>
      <c r="AI57" s="131">
        <f t="shared" si="61"/>
        <v>45340</v>
      </c>
      <c r="AJ57" s="131">
        <f t="shared" si="61"/>
        <v>45371</v>
      </c>
      <c r="AK57" s="131">
        <f t="shared" si="61"/>
        <v>45402</v>
      </c>
      <c r="AL57" s="131">
        <f t="shared" si="61"/>
        <v>45433</v>
      </c>
      <c r="AM57" s="131">
        <f t="shared" si="61"/>
        <v>45464</v>
      </c>
      <c r="AN57" s="131">
        <f t="shared" si="61"/>
        <v>45495</v>
      </c>
      <c r="AO57" s="131">
        <f t="shared" si="61"/>
        <v>45526</v>
      </c>
      <c r="AP57" s="131">
        <f t="shared" si="61"/>
        <v>45557</v>
      </c>
      <c r="AQ57" s="131">
        <f t="shared" si="61"/>
        <v>45588</v>
      </c>
      <c r="AR57" s="131">
        <f t="shared" si="61"/>
        <v>45619</v>
      </c>
      <c r="AS57" s="131">
        <f t="shared" si="61"/>
        <v>45650</v>
      </c>
      <c r="AT57" s="131">
        <f t="shared" si="61"/>
        <v>45681</v>
      </c>
      <c r="AU57" s="131">
        <f t="shared" si="61"/>
        <v>45712</v>
      </c>
      <c r="AV57" s="131">
        <f t="shared" si="61"/>
        <v>45743</v>
      </c>
      <c r="AW57" s="131">
        <f t="shared" si="61"/>
        <v>45774</v>
      </c>
      <c r="AX57" s="131">
        <f t="shared" si="61"/>
        <v>45805</v>
      </c>
      <c r="AY57" s="131">
        <f t="shared" si="61"/>
        <v>45836</v>
      </c>
      <c r="AZ57" s="131">
        <f t="shared" si="61"/>
        <v>45867</v>
      </c>
      <c r="BA57" s="131">
        <f t="shared" si="61"/>
        <v>45898</v>
      </c>
      <c r="BB57" s="131">
        <f t="shared" si="61"/>
        <v>45929</v>
      </c>
      <c r="BC57" s="131">
        <f t="shared" si="61"/>
        <v>45960</v>
      </c>
      <c r="BD57" s="131">
        <f t="shared" si="61"/>
        <v>45991</v>
      </c>
    </row>
    <row r="58" spans="1:56" s="159" customFormat="1" x14ac:dyDescent="0.25">
      <c r="A58" s="453" t="str">
        <f>A42</f>
        <v>Number of betters using WGF API</v>
      </c>
      <c r="B58" s="454" t="str">
        <f t="shared" ref="B58:BD58" si="62">B42</f>
        <v>0</v>
      </c>
      <c r="C58" s="454" t="str">
        <f t="shared" si="62"/>
        <v>0</v>
      </c>
      <c r="D58" s="454" t="str">
        <f t="shared" si="62"/>
        <v>0</v>
      </c>
      <c r="E58" s="454" t="str">
        <f t="shared" si="62"/>
        <v>0</v>
      </c>
      <c r="F58" s="454" t="str">
        <f t="shared" si="62"/>
        <v>0</v>
      </c>
      <c r="G58" s="454" t="str">
        <f t="shared" si="62"/>
        <v>0</v>
      </c>
      <c r="H58" s="453" t="str">
        <f t="shared" si="62"/>
        <v>0</v>
      </c>
      <c r="I58" s="453" t="str">
        <f t="shared" si="62"/>
        <v>0</v>
      </c>
      <c r="J58" s="453">
        <f t="shared" si="62"/>
        <v>60000</v>
      </c>
      <c r="K58" s="453">
        <f t="shared" si="62"/>
        <v>61200</v>
      </c>
      <c r="L58" s="453">
        <f t="shared" si="62"/>
        <v>62424</v>
      </c>
      <c r="M58" s="453">
        <f t="shared" si="62"/>
        <v>63672.480000000003</v>
      </c>
      <c r="N58" s="453">
        <f t="shared" si="62"/>
        <v>64945.929600000003</v>
      </c>
      <c r="O58" s="453">
        <f t="shared" si="62"/>
        <v>66244.848192000005</v>
      </c>
      <c r="P58" s="453">
        <f t="shared" si="62"/>
        <v>67569.745155840006</v>
      </c>
      <c r="Q58" s="453">
        <f t="shared" si="62"/>
        <v>68921.140058956807</v>
      </c>
      <c r="R58" s="453">
        <f t="shared" si="62"/>
        <v>70299.562860135949</v>
      </c>
      <c r="S58" s="453">
        <f t="shared" si="62"/>
        <v>71705.554117338674</v>
      </c>
      <c r="T58" s="453">
        <f t="shared" si="62"/>
        <v>73139.665199685449</v>
      </c>
      <c r="U58" s="453">
        <f t="shared" si="62"/>
        <v>74602.458503679154</v>
      </c>
      <c r="V58" s="453">
        <f t="shared" si="62"/>
        <v>76094.507673752742</v>
      </c>
      <c r="W58" s="453">
        <f t="shared" si="62"/>
        <v>77616.397827227804</v>
      </c>
      <c r="X58" s="453">
        <f t="shared" si="62"/>
        <v>79168.725783772359</v>
      </c>
      <c r="Y58" s="453">
        <f t="shared" si="62"/>
        <v>80752.100299447804</v>
      </c>
      <c r="Z58" s="453">
        <f t="shared" si="62"/>
        <v>82367.142305436762</v>
      </c>
      <c r="AA58" s="453">
        <f t="shared" si="62"/>
        <v>84014.485151545494</v>
      </c>
      <c r="AB58" s="453">
        <f t="shared" si="62"/>
        <v>85694.774854576404</v>
      </c>
      <c r="AC58" s="453">
        <f t="shared" si="62"/>
        <v>87408.670351667941</v>
      </c>
      <c r="AD58" s="453">
        <f t="shared" si="62"/>
        <v>89156.843758701303</v>
      </c>
      <c r="AE58" s="453">
        <f t="shared" si="62"/>
        <v>90939.980633875326</v>
      </c>
      <c r="AF58" s="453">
        <f t="shared" si="62"/>
        <v>92758.780246552837</v>
      </c>
      <c r="AG58" s="453">
        <f t="shared" si="62"/>
        <v>94613.955851483901</v>
      </c>
      <c r="AH58" s="453">
        <f t="shared" si="62"/>
        <v>96506.234968513585</v>
      </c>
      <c r="AI58" s="453">
        <f t="shared" si="62"/>
        <v>98436.359667883851</v>
      </c>
      <c r="AJ58" s="453">
        <f t="shared" si="62"/>
        <v>100405.08686124154</v>
      </c>
      <c r="AK58" s="453">
        <f t="shared" si="62"/>
        <v>102413.18859846637</v>
      </c>
      <c r="AL58" s="453">
        <f t="shared" si="62"/>
        <v>104461.4523704357</v>
      </c>
      <c r="AM58" s="453">
        <f t="shared" si="62"/>
        <v>106550.68141784442</v>
      </c>
      <c r="AN58" s="453">
        <f t="shared" si="62"/>
        <v>108681.6950462013</v>
      </c>
      <c r="AO58" s="453">
        <f t="shared" si="62"/>
        <v>110855.32894712534</v>
      </c>
      <c r="AP58" s="453">
        <f t="shared" si="62"/>
        <v>113072.43552606784</v>
      </c>
      <c r="AQ58" s="453">
        <f t="shared" si="62"/>
        <v>115333.88423658921</v>
      </c>
      <c r="AR58" s="453">
        <f t="shared" si="62"/>
        <v>117640.56192132099</v>
      </c>
      <c r="AS58" s="453">
        <f t="shared" si="62"/>
        <v>119993.37315974741</v>
      </c>
      <c r="AT58" s="453">
        <f t="shared" si="62"/>
        <v>122393.24062294237</v>
      </c>
      <c r="AU58" s="453">
        <f t="shared" si="62"/>
        <v>124841.10543540122</v>
      </c>
      <c r="AV58" s="453">
        <f t="shared" si="62"/>
        <v>127337.92754410925</v>
      </c>
      <c r="AW58" s="453">
        <f t="shared" si="62"/>
        <v>129884.68609499144</v>
      </c>
      <c r="AX58" s="453">
        <f t="shared" si="62"/>
        <v>132482.37981689128</v>
      </c>
      <c r="AY58" s="453">
        <f t="shared" si="62"/>
        <v>135132.02741322911</v>
      </c>
      <c r="AZ58" s="453">
        <f t="shared" si="62"/>
        <v>137834.66796149369</v>
      </c>
      <c r="BA58" s="453">
        <f t="shared" si="62"/>
        <v>140591.36132072358</v>
      </c>
      <c r="BB58" s="453">
        <f t="shared" si="62"/>
        <v>143403.18854713804</v>
      </c>
      <c r="BC58" s="453">
        <f t="shared" si="62"/>
        <v>146271.25231808081</v>
      </c>
      <c r="BD58" s="453">
        <f t="shared" si="62"/>
        <v>149196.67736444241</v>
      </c>
    </row>
    <row r="59" spans="1:56" s="159" customFormat="1" x14ac:dyDescent="0.25">
      <c r="A59" s="159" t="str">
        <f>A43</f>
        <v>Small betters</v>
      </c>
      <c r="B59" s="455">
        <f>B58*$H$37*$C$36</f>
        <v>0</v>
      </c>
      <c r="C59" s="455">
        <f t="shared" ref="C59:BD59" si="63">C58*$H$37*$C$36</f>
        <v>0</v>
      </c>
      <c r="D59" s="455">
        <f t="shared" si="63"/>
        <v>0</v>
      </c>
      <c r="E59" s="455">
        <f t="shared" si="63"/>
        <v>0</v>
      </c>
      <c r="F59" s="455">
        <f t="shared" si="63"/>
        <v>0</v>
      </c>
      <c r="G59" s="455">
        <f t="shared" si="63"/>
        <v>0</v>
      </c>
      <c r="H59" s="455">
        <f t="shared" si="63"/>
        <v>0</v>
      </c>
      <c r="I59" s="455">
        <f t="shared" si="63"/>
        <v>0</v>
      </c>
      <c r="J59" s="455">
        <f t="shared" si="63"/>
        <v>2700</v>
      </c>
      <c r="K59" s="455">
        <f t="shared" si="63"/>
        <v>2754</v>
      </c>
      <c r="L59" s="455">
        <f t="shared" si="63"/>
        <v>2809.08</v>
      </c>
      <c r="M59" s="455">
        <f t="shared" si="63"/>
        <v>2865.2615999999998</v>
      </c>
      <c r="N59" s="455">
        <f t="shared" si="63"/>
        <v>2922.566832</v>
      </c>
      <c r="O59" s="455">
        <f t="shared" si="63"/>
        <v>2981.0181686400001</v>
      </c>
      <c r="P59" s="455">
        <f t="shared" si="63"/>
        <v>3040.6385320128002</v>
      </c>
      <c r="Q59" s="455">
        <f t="shared" si="63"/>
        <v>3101.4513026530562</v>
      </c>
      <c r="R59" s="455">
        <f t="shared" si="63"/>
        <v>3163.4803287061172</v>
      </c>
      <c r="S59" s="455">
        <f t="shared" si="63"/>
        <v>3226.7499352802402</v>
      </c>
      <c r="T59" s="455">
        <f t="shared" si="63"/>
        <v>3291.2849339858449</v>
      </c>
      <c r="U59" s="455">
        <f t="shared" si="63"/>
        <v>3357.1106326655618</v>
      </c>
      <c r="V59" s="455">
        <f t="shared" si="63"/>
        <v>3424.2528453188734</v>
      </c>
      <c r="W59" s="455">
        <f t="shared" si="63"/>
        <v>3492.7379022252508</v>
      </c>
      <c r="X59" s="455">
        <f t="shared" si="63"/>
        <v>3562.5926602697559</v>
      </c>
      <c r="Y59" s="455">
        <f t="shared" si="63"/>
        <v>3633.844513475151</v>
      </c>
      <c r="Z59" s="455">
        <f t="shared" si="63"/>
        <v>3706.521403744654</v>
      </c>
      <c r="AA59" s="455">
        <f t="shared" si="63"/>
        <v>3780.6518318195467</v>
      </c>
      <c r="AB59" s="455">
        <f t="shared" si="63"/>
        <v>3856.2648684559381</v>
      </c>
      <c r="AC59" s="455">
        <f t="shared" si="63"/>
        <v>3933.390165825057</v>
      </c>
      <c r="AD59" s="455">
        <f t="shared" si="63"/>
        <v>4012.0579691415583</v>
      </c>
      <c r="AE59" s="455">
        <f t="shared" si="63"/>
        <v>4092.2991285243893</v>
      </c>
      <c r="AF59" s="455">
        <f t="shared" si="63"/>
        <v>4174.1451110948774</v>
      </c>
      <c r="AG59" s="455">
        <f t="shared" si="63"/>
        <v>4257.6280133167757</v>
      </c>
      <c r="AH59" s="455">
        <f t="shared" si="63"/>
        <v>4342.7805735831116</v>
      </c>
      <c r="AI59" s="455">
        <f t="shared" si="63"/>
        <v>4429.6361850547728</v>
      </c>
      <c r="AJ59" s="455">
        <f t="shared" si="63"/>
        <v>4518.2289087558684</v>
      </c>
      <c r="AK59" s="455">
        <f t="shared" si="63"/>
        <v>4608.5934869309867</v>
      </c>
      <c r="AL59" s="455">
        <f t="shared" si="63"/>
        <v>4700.7653566696063</v>
      </c>
      <c r="AM59" s="455">
        <f t="shared" si="63"/>
        <v>4794.7806638029988</v>
      </c>
      <c r="AN59" s="455">
        <f t="shared" si="63"/>
        <v>4890.6762770790583</v>
      </c>
      <c r="AO59" s="455">
        <f t="shared" si="63"/>
        <v>4988.4898026206401</v>
      </c>
      <c r="AP59" s="455">
        <f t="shared" si="63"/>
        <v>5088.2595986730521</v>
      </c>
      <c r="AQ59" s="455">
        <f t="shared" si="63"/>
        <v>5190.0247906465138</v>
      </c>
      <c r="AR59" s="455">
        <f t="shared" si="63"/>
        <v>5293.8252864594442</v>
      </c>
      <c r="AS59" s="455">
        <f t="shared" si="63"/>
        <v>5399.7017921886327</v>
      </c>
      <c r="AT59" s="455">
        <f t="shared" si="63"/>
        <v>5507.6958280324061</v>
      </c>
      <c r="AU59" s="455">
        <f t="shared" si="63"/>
        <v>5617.8497445930543</v>
      </c>
      <c r="AV59" s="455">
        <f t="shared" si="63"/>
        <v>5730.2067394849155</v>
      </c>
      <c r="AW59" s="455">
        <f t="shared" si="63"/>
        <v>5844.8108742746144</v>
      </c>
      <c r="AX59" s="455">
        <f t="shared" si="63"/>
        <v>5961.7070917601068</v>
      </c>
      <c r="AY59" s="455">
        <f t="shared" si="63"/>
        <v>6080.9412335953093</v>
      </c>
      <c r="AZ59" s="455">
        <f t="shared" si="63"/>
        <v>6202.5600582672159</v>
      </c>
      <c r="BA59" s="455">
        <f t="shared" si="63"/>
        <v>6326.6112594325605</v>
      </c>
      <c r="BB59" s="455">
        <f t="shared" si="63"/>
        <v>6453.1434846212114</v>
      </c>
      <c r="BC59" s="455">
        <f t="shared" si="63"/>
        <v>6582.2063543136364</v>
      </c>
      <c r="BD59" s="455">
        <f t="shared" si="63"/>
        <v>6713.8504813999089</v>
      </c>
    </row>
    <row r="60" spans="1:56" s="159" customFormat="1" x14ac:dyDescent="0.25">
      <c r="A60" s="159" t="str">
        <f t="shared" ref="A60:A61" si="64">A44</f>
        <v>Medium betters</v>
      </c>
      <c r="B60" s="455">
        <f>B58*$H$38*$C$36</f>
        <v>0</v>
      </c>
      <c r="C60" s="455">
        <f t="shared" ref="C60:BD60" si="65">C58*$H$38*$C$36</f>
        <v>0</v>
      </c>
      <c r="D60" s="455">
        <f t="shared" si="65"/>
        <v>0</v>
      </c>
      <c r="E60" s="455">
        <f t="shared" si="65"/>
        <v>0</v>
      </c>
      <c r="F60" s="455">
        <f t="shared" si="65"/>
        <v>0</v>
      </c>
      <c r="G60" s="455">
        <f t="shared" si="65"/>
        <v>0</v>
      </c>
      <c r="H60" s="455">
        <f t="shared" si="65"/>
        <v>0</v>
      </c>
      <c r="I60" s="455">
        <f t="shared" si="65"/>
        <v>0</v>
      </c>
      <c r="J60" s="455">
        <f t="shared" si="65"/>
        <v>3600</v>
      </c>
      <c r="K60" s="455">
        <f t="shared" si="65"/>
        <v>3672</v>
      </c>
      <c r="L60" s="455">
        <f t="shared" si="65"/>
        <v>3745.44</v>
      </c>
      <c r="M60" s="455">
        <f t="shared" si="65"/>
        <v>3820.3488000000002</v>
      </c>
      <c r="N60" s="455">
        <f t="shared" si="65"/>
        <v>3896.7557760000004</v>
      </c>
      <c r="O60" s="455">
        <f t="shared" si="65"/>
        <v>3974.6908915200002</v>
      </c>
      <c r="P60" s="455">
        <f t="shared" si="65"/>
        <v>4054.1847093504002</v>
      </c>
      <c r="Q60" s="455">
        <f t="shared" si="65"/>
        <v>4135.2684035374086</v>
      </c>
      <c r="R60" s="455">
        <f t="shared" si="65"/>
        <v>4217.9737716081572</v>
      </c>
      <c r="S60" s="455">
        <f t="shared" si="65"/>
        <v>4302.3332470403202</v>
      </c>
      <c r="T60" s="455">
        <f t="shared" si="65"/>
        <v>4388.3799119811265</v>
      </c>
      <c r="U60" s="455">
        <f t="shared" si="65"/>
        <v>4476.1475102207487</v>
      </c>
      <c r="V60" s="455">
        <f t="shared" si="65"/>
        <v>4565.6704604251645</v>
      </c>
      <c r="W60" s="455">
        <f t="shared" si="65"/>
        <v>4656.9838696336683</v>
      </c>
      <c r="X60" s="455">
        <f t="shared" si="65"/>
        <v>4750.1235470263418</v>
      </c>
      <c r="Y60" s="455">
        <f t="shared" si="65"/>
        <v>4845.1260179668689</v>
      </c>
      <c r="Z60" s="455">
        <f t="shared" si="65"/>
        <v>4942.0285383262062</v>
      </c>
      <c r="AA60" s="455">
        <f t="shared" si="65"/>
        <v>5040.8691090927305</v>
      </c>
      <c r="AB60" s="455">
        <f t="shared" si="65"/>
        <v>5141.6864912745841</v>
      </c>
      <c r="AC60" s="455">
        <f t="shared" si="65"/>
        <v>5244.5202211000769</v>
      </c>
      <c r="AD60" s="455">
        <f t="shared" si="65"/>
        <v>5349.4106255220786</v>
      </c>
      <c r="AE60" s="455">
        <f t="shared" si="65"/>
        <v>5456.39883803252</v>
      </c>
      <c r="AF60" s="455">
        <f t="shared" si="65"/>
        <v>5565.5268147931702</v>
      </c>
      <c r="AG60" s="455">
        <f t="shared" si="65"/>
        <v>5676.8373510890333</v>
      </c>
      <c r="AH60" s="455">
        <f t="shared" si="65"/>
        <v>5790.3740981108149</v>
      </c>
      <c r="AI60" s="455">
        <f t="shared" si="65"/>
        <v>5906.1815800730319</v>
      </c>
      <c r="AJ60" s="455">
        <f t="shared" si="65"/>
        <v>6024.3052116744921</v>
      </c>
      <c r="AK60" s="455">
        <f t="shared" si="65"/>
        <v>6144.7913159079817</v>
      </c>
      <c r="AL60" s="455">
        <f t="shared" si="65"/>
        <v>6267.687142226142</v>
      </c>
      <c r="AM60" s="455">
        <f t="shared" si="65"/>
        <v>6393.0408850706654</v>
      </c>
      <c r="AN60" s="455">
        <f t="shared" si="65"/>
        <v>6520.9017027720784</v>
      </c>
      <c r="AO60" s="455">
        <f t="shared" si="65"/>
        <v>6651.3197368275205</v>
      </c>
      <c r="AP60" s="455">
        <f t="shared" si="65"/>
        <v>6784.3461315640716</v>
      </c>
      <c r="AQ60" s="455">
        <f t="shared" si="65"/>
        <v>6920.0330541953526</v>
      </c>
      <c r="AR60" s="455">
        <f t="shared" si="65"/>
        <v>7058.4337152792586</v>
      </c>
      <c r="AS60" s="455">
        <f t="shared" si="65"/>
        <v>7199.6023895848457</v>
      </c>
      <c r="AT60" s="455">
        <f t="shared" si="65"/>
        <v>7343.5944373765424</v>
      </c>
      <c r="AU60" s="455">
        <f t="shared" si="65"/>
        <v>7490.466326124073</v>
      </c>
      <c r="AV60" s="455">
        <f t="shared" si="65"/>
        <v>7640.2756526465555</v>
      </c>
      <c r="AW60" s="455">
        <f t="shared" si="65"/>
        <v>7793.0811656994865</v>
      </c>
      <c r="AX60" s="455">
        <f t="shared" si="65"/>
        <v>7948.9427890134766</v>
      </c>
      <c r="AY60" s="455">
        <f t="shared" si="65"/>
        <v>8107.921644793747</v>
      </c>
      <c r="AZ60" s="455">
        <f t="shared" si="65"/>
        <v>8270.0800776896212</v>
      </c>
      <c r="BA60" s="455">
        <f t="shared" si="65"/>
        <v>8435.4816792434158</v>
      </c>
      <c r="BB60" s="455">
        <f t="shared" si="65"/>
        <v>8604.1913128282831</v>
      </c>
      <c r="BC60" s="455">
        <f t="shared" si="65"/>
        <v>8776.275139084848</v>
      </c>
      <c r="BD60" s="455">
        <f t="shared" si="65"/>
        <v>8951.8006418665445</v>
      </c>
    </row>
    <row r="61" spans="1:56" s="159" customFormat="1" x14ac:dyDescent="0.25">
      <c r="A61" s="159" t="str">
        <f t="shared" si="64"/>
        <v>Large betters</v>
      </c>
      <c r="B61" s="455">
        <f>B58*$H$39*$C$36</f>
        <v>0</v>
      </c>
      <c r="C61" s="455">
        <f t="shared" ref="C61:BD61" si="66">C58*$H$39*$C$36</f>
        <v>0</v>
      </c>
      <c r="D61" s="455">
        <f t="shared" si="66"/>
        <v>0</v>
      </c>
      <c r="E61" s="455">
        <f t="shared" si="66"/>
        <v>0</v>
      </c>
      <c r="F61" s="455">
        <f t="shared" si="66"/>
        <v>0</v>
      </c>
      <c r="G61" s="455">
        <f t="shared" si="66"/>
        <v>0</v>
      </c>
      <c r="H61" s="455">
        <f t="shared" si="66"/>
        <v>0</v>
      </c>
      <c r="I61" s="455">
        <f t="shared" si="66"/>
        <v>0</v>
      </c>
      <c r="J61" s="455">
        <f t="shared" si="66"/>
        <v>2700</v>
      </c>
      <c r="K61" s="455">
        <f t="shared" si="66"/>
        <v>2754</v>
      </c>
      <c r="L61" s="455">
        <f t="shared" si="66"/>
        <v>2809.08</v>
      </c>
      <c r="M61" s="455">
        <f t="shared" si="66"/>
        <v>2865.2615999999998</v>
      </c>
      <c r="N61" s="455">
        <f t="shared" si="66"/>
        <v>2922.566832</v>
      </c>
      <c r="O61" s="455">
        <f t="shared" si="66"/>
        <v>2981.0181686400001</v>
      </c>
      <c r="P61" s="455">
        <f t="shared" si="66"/>
        <v>3040.6385320128002</v>
      </c>
      <c r="Q61" s="455">
        <f t="shared" si="66"/>
        <v>3101.4513026530562</v>
      </c>
      <c r="R61" s="455">
        <f t="shared" si="66"/>
        <v>3163.4803287061172</v>
      </c>
      <c r="S61" s="455">
        <f t="shared" si="66"/>
        <v>3226.7499352802402</v>
      </c>
      <c r="T61" s="455">
        <f t="shared" si="66"/>
        <v>3291.2849339858449</v>
      </c>
      <c r="U61" s="455">
        <f t="shared" si="66"/>
        <v>3357.1106326655618</v>
      </c>
      <c r="V61" s="455">
        <f t="shared" si="66"/>
        <v>3424.2528453188734</v>
      </c>
      <c r="W61" s="455">
        <f t="shared" si="66"/>
        <v>3492.7379022252508</v>
      </c>
      <c r="X61" s="455">
        <f t="shared" si="66"/>
        <v>3562.5926602697559</v>
      </c>
      <c r="Y61" s="455">
        <f t="shared" si="66"/>
        <v>3633.844513475151</v>
      </c>
      <c r="Z61" s="455">
        <f t="shared" si="66"/>
        <v>3706.521403744654</v>
      </c>
      <c r="AA61" s="455">
        <f t="shared" si="66"/>
        <v>3780.6518318195467</v>
      </c>
      <c r="AB61" s="455">
        <f t="shared" si="66"/>
        <v>3856.2648684559381</v>
      </c>
      <c r="AC61" s="455">
        <f t="shared" si="66"/>
        <v>3933.390165825057</v>
      </c>
      <c r="AD61" s="455">
        <f t="shared" si="66"/>
        <v>4012.0579691415583</v>
      </c>
      <c r="AE61" s="455">
        <f t="shared" si="66"/>
        <v>4092.2991285243893</v>
      </c>
      <c r="AF61" s="455">
        <f t="shared" si="66"/>
        <v>4174.1451110948774</v>
      </c>
      <c r="AG61" s="455">
        <f t="shared" si="66"/>
        <v>4257.6280133167757</v>
      </c>
      <c r="AH61" s="455">
        <f t="shared" si="66"/>
        <v>4342.7805735831116</v>
      </c>
      <c r="AI61" s="455">
        <f t="shared" si="66"/>
        <v>4429.6361850547728</v>
      </c>
      <c r="AJ61" s="455">
        <f t="shared" si="66"/>
        <v>4518.2289087558684</v>
      </c>
      <c r="AK61" s="455">
        <f t="shared" si="66"/>
        <v>4608.5934869309867</v>
      </c>
      <c r="AL61" s="455">
        <f t="shared" si="66"/>
        <v>4700.7653566696063</v>
      </c>
      <c r="AM61" s="455">
        <f t="shared" si="66"/>
        <v>4794.7806638029988</v>
      </c>
      <c r="AN61" s="455">
        <f t="shared" si="66"/>
        <v>4890.6762770790583</v>
      </c>
      <c r="AO61" s="455">
        <f t="shared" si="66"/>
        <v>4988.4898026206401</v>
      </c>
      <c r="AP61" s="455">
        <f t="shared" si="66"/>
        <v>5088.2595986730521</v>
      </c>
      <c r="AQ61" s="455">
        <f t="shared" si="66"/>
        <v>5190.0247906465138</v>
      </c>
      <c r="AR61" s="455">
        <f t="shared" si="66"/>
        <v>5293.8252864594442</v>
      </c>
      <c r="AS61" s="455">
        <f t="shared" si="66"/>
        <v>5399.7017921886327</v>
      </c>
      <c r="AT61" s="455">
        <f t="shared" si="66"/>
        <v>5507.6958280324061</v>
      </c>
      <c r="AU61" s="455">
        <f t="shared" si="66"/>
        <v>5617.8497445930543</v>
      </c>
      <c r="AV61" s="455">
        <f t="shared" si="66"/>
        <v>5730.2067394849155</v>
      </c>
      <c r="AW61" s="455">
        <f t="shared" si="66"/>
        <v>5844.8108742746144</v>
      </c>
      <c r="AX61" s="455">
        <f t="shared" si="66"/>
        <v>5961.7070917601068</v>
      </c>
      <c r="AY61" s="455">
        <f t="shared" si="66"/>
        <v>6080.9412335953093</v>
      </c>
      <c r="AZ61" s="455">
        <f t="shared" si="66"/>
        <v>6202.5600582672159</v>
      </c>
      <c r="BA61" s="455">
        <f t="shared" si="66"/>
        <v>6326.6112594325605</v>
      </c>
      <c r="BB61" s="455">
        <f t="shared" si="66"/>
        <v>6453.1434846212114</v>
      </c>
      <c r="BC61" s="455">
        <f t="shared" si="66"/>
        <v>6582.2063543136364</v>
      </c>
      <c r="BD61" s="455">
        <f t="shared" si="66"/>
        <v>6713.8504813999089</v>
      </c>
    </row>
    <row r="62" spans="1:56" s="53" customFormat="1" ht="17" thickBot="1" x14ac:dyDescent="0.3">
      <c r="A62" s="129" t="s">
        <v>523</v>
      </c>
      <c r="B62" s="456">
        <f>SUM(B59:B61)</f>
        <v>0</v>
      </c>
      <c r="C62" s="456">
        <f t="shared" ref="C62:BD62" si="67">SUM(C59:C61)</f>
        <v>0</v>
      </c>
      <c r="D62" s="456">
        <f t="shared" si="67"/>
        <v>0</v>
      </c>
      <c r="E62" s="456">
        <f t="shared" si="67"/>
        <v>0</v>
      </c>
      <c r="F62" s="456">
        <f t="shared" si="67"/>
        <v>0</v>
      </c>
      <c r="G62" s="456">
        <f t="shared" si="67"/>
        <v>0</v>
      </c>
      <c r="H62" s="456">
        <f t="shared" si="67"/>
        <v>0</v>
      </c>
      <c r="I62" s="456">
        <f t="shared" si="67"/>
        <v>0</v>
      </c>
      <c r="J62" s="456">
        <f t="shared" si="67"/>
        <v>9000</v>
      </c>
      <c r="K62" s="456">
        <f t="shared" si="67"/>
        <v>9180</v>
      </c>
      <c r="L62" s="456">
        <f t="shared" si="67"/>
        <v>9363.6</v>
      </c>
      <c r="M62" s="456">
        <f t="shared" si="67"/>
        <v>9550.8719999999994</v>
      </c>
      <c r="N62" s="456">
        <f t="shared" si="67"/>
        <v>9741.8894400000008</v>
      </c>
      <c r="O62" s="456">
        <f t="shared" si="67"/>
        <v>9936.7272288000004</v>
      </c>
      <c r="P62" s="456">
        <f t="shared" si="67"/>
        <v>10135.461773376001</v>
      </c>
      <c r="Q62" s="456">
        <f t="shared" si="67"/>
        <v>10338.171008843521</v>
      </c>
      <c r="R62" s="456">
        <f t="shared" si="67"/>
        <v>10544.934429020392</v>
      </c>
      <c r="S62" s="456">
        <f t="shared" si="67"/>
        <v>10755.833117600801</v>
      </c>
      <c r="T62" s="456">
        <f t="shared" si="67"/>
        <v>10970.949779952816</v>
      </c>
      <c r="U62" s="456">
        <f t="shared" si="67"/>
        <v>11190.368775551873</v>
      </c>
      <c r="V62" s="456">
        <f t="shared" si="67"/>
        <v>11414.176151062911</v>
      </c>
      <c r="W62" s="456">
        <f t="shared" si="67"/>
        <v>11642.45967408417</v>
      </c>
      <c r="X62" s="456">
        <f t="shared" si="67"/>
        <v>11875.308867565855</v>
      </c>
      <c r="Y62" s="456">
        <f t="shared" si="67"/>
        <v>12112.815044917172</v>
      </c>
      <c r="Z62" s="456">
        <f t="shared" si="67"/>
        <v>12355.071345815515</v>
      </c>
      <c r="AA62" s="456">
        <f t="shared" si="67"/>
        <v>12602.172772731823</v>
      </c>
      <c r="AB62" s="456">
        <f t="shared" si="67"/>
        <v>12854.216228186462</v>
      </c>
      <c r="AC62" s="456">
        <f t="shared" si="67"/>
        <v>13111.300552750192</v>
      </c>
      <c r="AD62" s="456">
        <f t="shared" si="67"/>
        <v>13373.526563805195</v>
      </c>
      <c r="AE62" s="456">
        <f t="shared" si="67"/>
        <v>13640.997095081299</v>
      </c>
      <c r="AF62" s="456">
        <f t="shared" si="67"/>
        <v>13913.817036982924</v>
      </c>
      <c r="AG62" s="456">
        <f t="shared" si="67"/>
        <v>14192.093377722584</v>
      </c>
      <c r="AH62" s="456">
        <f t="shared" si="67"/>
        <v>14475.935245277038</v>
      </c>
      <c r="AI62" s="456">
        <f t="shared" si="67"/>
        <v>14765.453950182578</v>
      </c>
      <c r="AJ62" s="456">
        <f t="shared" si="67"/>
        <v>15060.76302918623</v>
      </c>
      <c r="AK62" s="456">
        <f t="shared" si="67"/>
        <v>15361.978289769955</v>
      </c>
      <c r="AL62" s="456">
        <f t="shared" si="67"/>
        <v>15669.217855565355</v>
      </c>
      <c r="AM62" s="456">
        <f t="shared" si="67"/>
        <v>15982.602212676662</v>
      </c>
      <c r="AN62" s="456">
        <f t="shared" si="67"/>
        <v>16302.254256930195</v>
      </c>
      <c r="AO62" s="456">
        <f t="shared" si="67"/>
        <v>16628.2993420688</v>
      </c>
      <c r="AP62" s="456">
        <f t="shared" si="67"/>
        <v>16960.865328910175</v>
      </c>
      <c r="AQ62" s="456">
        <f t="shared" si="67"/>
        <v>17300.082635488383</v>
      </c>
      <c r="AR62" s="456">
        <f t="shared" si="67"/>
        <v>17646.084288198148</v>
      </c>
      <c r="AS62" s="456">
        <f t="shared" si="67"/>
        <v>17999.00597396211</v>
      </c>
      <c r="AT62" s="456">
        <f t="shared" si="67"/>
        <v>18358.986093441355</v>
      </c>
      <c r="AU62" s="456">
        <f t="shared" si="67"/>
        <v>18726.165815310182</v>
      </c>
      <c r="AV62" s="456">
        <f t="shared" si="67"/>
        <v>19100.689131616386</v>
      </c>
      <c r="AW62" s="456">
        <f t="shared" si="67"/>
        <v>19482.702914248715</v>
      </c>
      <c r="AX62" s="456">
        <f t="shared" si="67"/>
        <v>19872.356972533693</v>
      </c>
      <c r="AY62" s="456">
        <f t="shared" si="67"/>
        <v>20269.804111984366</v>
      </c>
      <c r="AZ62" s="456">
        <f t="shared" si="67"/>
        <v>20675.200194224053</v>
      </c>
      <c r="BA62" s="456">
        <f t="shared" si="67"/>
        <v>21088.704198108535</v>
      </c>
      <c r="BB62" s="456">
        <f t="shared" si="67"/>
        <v>21510.478282070704</v>
      </c>
      <c r="BC62" s="456">
        <f t="shared" si="67"/>
        <v>21940.687847712121</v>
      </c>
      <c r="BD62" s="456">
        <f t="shared" si="67"/>
        <v>22379.501604666362</v>
      </c>
    </row>
    <row r="63" spans="1:56" x14ac:dyDescent="0.25">
      <c r="A63" s="113" t="s">
        <v>553</v>
      </c>
      <c r="B63" s="457">
        <f>B62*$C$37</f>
        <v>0</v>
      </c>
      <c r="C63" s="457">
        <f t="shared" ref="C63:BD63" si="68">C62*$C$37</f>
        <v>0</v>
      </c>
      <c r="D63" s="457">
        <f t="shared" si="68"/>
        <v>0</v>
      </c>
      <c r="E63" s="457">
        <f t="shared" si="68"/>
        <v>0</v>
      </c>
      <c r="F63" s="457">
        <f t="shared" si="68"/>
        <v>0</v>
      </c>
      <c r="G63" s="457">
        <f t="shared" si="68"/>
        <v>0</v>
      </c>
      <c r="H63" s="457">
        <f t="shared" si="68"/>
        <v>0</v>
      </c>
      <c r="I63" s="457">
        <f t="shared" si="68"/>
        <v>0</v>
      </c>
      <c r="J63" s="457">
        <f t="shared" si="68"/>
        <v>26910.000000000004</v>
      </c>
      <c r="K63" s="457">
        <f t="shared" si="68"/>
        <v>27448.2</v>
      </c>
      <c r="L63" s="457">
        <f t="shared" si="68"/>
        <v>27997.164000000004</v>
      </c>
      <c r="M63" s="457">
        <f t="shared" si="68"/>
        <v>28557.10728</v>
      </c>
      <c r="N63" s="457">
        <f t="shared" si="68"/>
        <v>29128.249425600006</v>
      </c>
      <c r="O63" s="457">
        <f t="shared" si="68"/>
        <v>29710.814414112003</v>
      </c>
      <c r="P63" s="457">
        <f t="shared" si="68"/>
        <v>30305.030702394244</v>
      </c>
      <c r="Q63" s="457">
        <f t="shared" si="68"/>
        <v>30911.13131644213</v>
      </c>
      <c r="R63" s="457">
        <f t="shared" si="68"/>
        <v>31529.353942770973</v>
      </c>
      <c r="S63" s="457">
        <f t="shared" si="68"/>
        <v>32159.941021626397</v>
      </c>
      <c r="T63" s="457">
        <f t="shared" si="68"/>
        <v>32803.139842058925</v>
      </c>
      <c r="U63" s="457">
        <f t="shared" si="68"/>
        <v>33459.202638900104</v>
      </c>
      <c r="V63" s="457">
        <f t="shared" si="68"/>
        <v>34128.386691678104</v>
      </c>
      <c r="W63" s="457">
        <f t="shared" si="68"/>
        <v>34810.954425511671</v>
      </c>
      <c r="X63" s="457">
        <f t="shared" si="68"/>
        <v>35507.17351402191</v>
      </c>
      <c r="Y63" s="457">
        <f t="shared" si="68"/>
        <v>36217.316984302342</v>
      </c>
      <c r="Z63" s="457">
        <f t="shared" si="68"/>
        <v>36941.663323988396</v>
      </c>
      <c r="AA63" s="457">
        <f t="shared" si="68"/>
        <v>37680.496590468152</v>
      </c>
      <c r="AB63" s="457">
        <f t="shared" si="68"/>
        <v>38434.106522277521</v>
      </c>
      <c r="AC63" s="457">
        <f t="shared" si="68"/>
        <v>39202.788652723073</v>
      </c>
      <c r="AD63" s="457">
        <f t="shared" si="68"/>
        <v>39986.844425777534</v>
      </c>
      <c r="AE63" s="457">
        <f t="shared" si="68"/>
        <v>40786.581314293086</v>
      </c>
      <c r="AF63" s="457">
        <f t="shared" si="68"/>
        <v>41602.312940578944</v>
      </c>
      <c r="AG63" s="457">
        <f t="shared" si="68"/>
        <v>42434.359199390528</v>
      </c>
      <c r="AH63" s="457">
        <f t="shared" si="68"/>
        <v>43283.046383378351</v>
      </c>
      <c r="AI63" s="457">
        <f t="shared" si="68"/>
        <v>44148.70731104591</v>
      </c>
      <c r="AJ63" s="457">
        <f t="shared" si="68"/>
        <v>45031.68145726683</v>
      </c>
      <c r="AK63" s="457">
        <f t="shared" si="68"/>
        <v>45932.315086412171</v>
      </c>
      <c r="AL63" s="457">
        <f t="shared" si="68"/>
        <v>46850.961388140415</v>
      </c>
      <c r="AM63" s="457">
        <f t="shared" si="68"/>
        <v>47787.980615903223</v>
      </c>
      <c r="AN63" s="457">
        <f t="shared" si="68"/>
        <v>48743.740228221286</v>
      </c>
      <c r="AO63" s="457">
        <f t="shared" si="68"/>
        <v>49718.615032785718</v>
      </c>
      <c r="AP63" s="457">
        <f t="shared" si="68"/>
        <v>50712.98733344143</v>
      </c>
      <c r="AQ63" s="457">
        <f t="shared" si="68"/>
        <v>51727.247080110268</v>
      </c>
      <c r="AR63" s="457">
        <f t="shared" si="68"/>
        <v>52761.792021712463</v>
      </c>
      <c r="AS63" s="457">
        <f t="shared" si="68"/>
        <v>53817.027862146715</v>
      </c>
      <c r="AT63" s="457">
        <f t="shared" si="68"/>
        <v>54893.368419389655</v>
      </c>
      <c r="AU63" s="457">
        <f t="shared" si="68"/>
        <v>55991.235787777448</v>
      </c>
      <c r="AV63" s="457">
        <f t="shared" si="68"/>
        <v>57111.060503532994</v>
      </c>
      <c r="AW63" s="457">
        <f t="shared" si="68"/>
        <v>58253.281713603661</v>
      </c>
      <c r="AX63" s="457">
        <f t="shared" si="68"/>
        <v>59418.347347875744</v>
      </c>
      <c r="AY63" s="457">
        <f t="shared" si="68"/>
        <v>60606.714294833255</v>
      </c>
      <c r="AZ63" s="457">
        <f t="shared" si="68"/>
        <v>61818.848580729922</v>
      </c>
      <c r="BA63" s="457">
        <f t="shared" si="68"/>
        <v>63055.225552344527</v>
      </c>
      <c r="BB63" s="457">
        <f t="shared" si="68"/>
        <v>64316.330063391411</v>
      </c>
      <c r="BC63" s="457">
        <f t="shared" si="68"/>
        <v>65602.65666465924</v>
      </c>
      <c r="BD63" s="457">
        <f t="shared" si="68"/>
        <v>66914.709797952426</v>
      </c>
    </row>
    <row r="64" spans="1:56" s="159" customFormat="1" x14ac:dyDescent="0.25">
      <c r="A64" s="160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</row>
    <row r="65" spans="1:56" s="151" customFormat="1" x14ac:dyDescent="0.25">
      <c r="A65" s="23" t="s">
        <v>555</v>
      </c>
      <c r="B65" s="24">
        <f>B41</f>
        <v>44317</v>
      </c>
      <c r="C65" s="24">
        <f t="shared" ref="C65:BD65" si="69">C41</f>
        <v>44348</v>
      </c>
      <c r="D65" s="24">
        <f t="shared" si="69"/>
        <v>44379</v>
      </c>
      <c r="E65" s="24">
        <f t="shared" si="69"/>
        <v>44410</v>
      </c>
      <c r="F65" s="24">
        <f t="shared" si="69"/>
        <v>44441</v>
      </c>
      <c r="G65" s="24">
        <f t="shared" si="69"/>
        <v>44472</v>
      </c>
      <c r="H65" s="24">
        <f t="shared" si="69"/>
        <v>44503</v>
      </c>
      <c r="I65" s="24">
        <f t="shared" si="69"/>
        <v>44534</v>
      </c>
      <c r="J65" s="24">
        <f t="shared" si="69"/>
        <v>44565</v>
      </c>
      <c r="K65" s="24">
        <f t="shared" si="69"/>
        <v>44596</v>
      </c>
      <c r="L65" s="24">
        <f t="shared" si="69"/>
        <v>44627</v>
      </c>
      <c r="M65" s="24">
        <f t="shared" si="69"/>
        <v>44658</v>
      </c>
      <c r="N65" s="24">
        <f t="shared" si="69"/>
        <v>44689</v>
      </c>
      <c r="O65" s="24">
        <f t="shared" si="69"/>
        <v>44720</v>
      </c>
      <c r="P65" s="24">
        <f t="shared" si="69"/>
        <v>44751</v>
      </c>
      <c r="Q65" s="24">
        <f t="shared" si="69"/>
        <v>44782</v>
      </c>
      <c r="R65" s="24">
        <f t="shared" si="69"/>
        <v>44813</v>
      </c>
      <c r="S65" s="24">
        <f t="shared" si="69"/>
        <v>44844</v>
      </c>
      <c r="T65" s="24">
        <f t="shared" si="69"/>
        <v>44875</v>
      </c>
      <c r="U65" s="24">
        <f t="shared" si="69"/>
        <v>44906</v>
      </c>
      <c r="V65" s="24">
        <f t="shared" si="69"/>
        <v>44937</v>
      </c>
      <c r="W65" s="24">
        <f t="shared" si="69"/>
        <v>44968</v>
      </c>
      <c r="X65" s="24">
        <f t="shared" si="69"/>
        <v>44999</v>
      </c>
      <c r="Y65" s="24">
        <f t="shared" si="69"/>
        <v>45030</v>
      </c>
      <c r="Z65" s="24">
        <f t="shared" si="69"/>
        <v>45061</v>
      </c>
      <c r="AA65" s="24">
        <f t="shared" si="69"/>
        <v>45092</v>
      </c>
      <c r="AB65" s="24">
        <f t="shared" si="69"/>
        <v>45123</v>
      </c>
      <c r="AC65" s="24">
        <f t="shared" si="69"/>
        <v>45154</v>
      </c>
      <c r="AD65" s="24">
        <f t="shared" si="69"/>
        <v>45185</v>
      </c>
      <c r="AE65" s="24">
        <f t="shared" si="69"/>
        <v>45216</v>
      </c>
      <c r="AF65" s="24">
        <f t="shared" si="69"/>
        <v>45247</v>
      </c>
      <c r="AG65" s="24">
        <f t="shared" si="69"/>
        <v>45278</v>
      </c>
      <c r="AH65" s="24">
        <f t="shared" si="69"/>
        <v>45309</v>
      </c>
      <c r="AI65" s="24">
        <f t="shared" si="69"/>
        <v>45340</v>
      </c>
      <c r="AJ65" s="24">
        <f t="shared" si="69"/>
        <v>45371</v>
      </c>
      <c r="AK65" s="24">
        <f t="shared" si="69"/>
        <v>45402</v>
      </c>
      <c r="AL65" s="24">
        <f t="shared" si="69"/>
        <v>45433</v>
      </c>
      <c r="AM65" s="24">
        <f t="shared" si="69"/>
        <v>45464</v>
      </c>
      <c r="AN65" s="24">
        <f t="shared" si="69"/>
        <v>45495</v>
      </c>
      <c r="AO65" s="24">
        <f t="shared" si="69"/>
        <v>45526</v>
      </c>
      <c r="AP65" s="24">
        <f t="shared" si="69"/>
        <v>45557</v>
      </c>
      <c r="AQ65" s="24">
        <f t="shared" si="69"/>
        <v>45588</v>
      </c>
      <c r="AR65" s="24">
        <f t="shared" si="69"/>
        <v>45619</v>
      </c>
      <c r="AS65" s="24">
        <f t="shared" si="69"/>
        <v>45650</v>
      </c>
      <c r="AT65" s="24">
        <f t="shared" si="69"/>
        <v>45681</v>
      </c>
      <c r="AU65" s="24">
        <f t="shared" si="69"/>
        <v>45712</v>
      </c>
      <c r="AV65" s="24">
        <f t="shared" si="69"/>
        <v>45743</v>
      </c>
      <c r="AW65" s="24">
        <f t="shared" si="69"/>
        <v>45774</v>
      </c>
      <c r="AX65" s="24">
        <f t="shared" si="69"/>
        <v>45805</v>
      </c>
      <c r="AY65" s="24">
        <f t="shared" si="69"/>
        <v>45836</v>
      </c>
      <c r="AZ65" s="24">
        <f t="shared" si="69"/>
        <v>45867</v>
      </c>
      <c r="BA65" s="24">
        <f t="shared" si="69"/>
        <v>45898</v>
      </c>
      <c r="BB65" s="24">
        <f t="shared" si="69"/>
        <v>45929</v>
      </c>
      <c r="BC65" s="24">
        <f t="shared" si="69"/>
        <v>45960</v>
      </c>
      <c r="BD65" s="24">
        <f t="shared" si="69"/>
        <v>45991</v>
      </c>
    </row>
    <row r="66" spans="1:56" s="151" customFormat="1" x14ac:dyDescent="0.25">
      <c r="A66" s="18" t="s">
        <v>398</v>
      </c>
      <c r="B66" s="155">
        <f>B54+B63</f>
        <v>0</v>
      </c>
      <c r="C66" s="155">
        <f t="shared" ref="C66:BD66" si="70">C54+C63</f>
        <v>0</v>
      </c>
      <c r="D66" s="155">
        <f t="shared" si="70"/>
        <v>0</v>
      </c>
      <c r="E66" s="155">
        <f t="shared" si="70"/>
        <v>0</v>
      </c>
      <c r="F66" s="155">
        <f t="shared" si="70"/>
        <v>0</v>
      </c>
      <c r="G66" s="155">
        <f t="shared" si="70"/>
        <v>0</v>
      </c>
      <c r="H66" s="155">
        <f t="shared" si="70"/>
        <v>0</v>
      </c>
      <c r="I66" s="155">
        <f t="shared" si="70"/>
        <v>0</v>
      </c>
      <c r="J66" s="155">
        <f t="shared" si="70"/>
        <v>317910</v>
      </c>
      <c r="K66" s="155">
        <f t="shared" si="70"/>
        <v>324268.2</v>
      </c>
      <c r="L66" s="155">
        <f t="shared" si="70"/>
        <v>330753.56400000001</v>
      </c>
      <c r="M66" s="155">
        <f t="shared" si="70"/>
        <v>337368.63528000005</v>
      </c>
      <c r="N66" s="155">
        <f t="shared" si="70"/>
        <v>344116.00798559998</v>
      </c>
      <c r="O66" s="155">
        <f t="shared" si="70"/>
        <v>350998.32814531209</v>
      </c>
      <c r="P66" s="155">
        <f t="shared" si="70"/>
        <v>358018.29470821837</v>
      </c>
      <c r="Q66" s="155">
        <f t="shared" si="70"/>
        <v>365178.66060238262</v>
      </c>
      <c r="R66" s="155">
        <f t="shared" si="70"/>
        <v>372482.23381443036</v>
      </c>
      <c r="S66" s="155">
        <f t="shared" si="70"/>
        <v>379931.87849071895</v>
      </c>
      <c r="T66" s="155">
        <f t="shared" si="70"/>
        <v>387530.51606053341</v>
      </c>
      <c r="U66" s="155">
        <f t="shared" si="70"/>
        <v>395281.12638174399</v>
      </c>
      <c r="V66" s="155">
        <f t="shared" si="70"/>
        <v>403186.74890937889</v>
      </c>
      <c r="W66" s="155">
        <f t="shared" si="70"/>
        <v>411250.48388756649</v>
      </c>
      <c r="X66" s="155">
        <f t="shared" si="70"/>
        <v>419475.49356531783</v>
      </c>
      <c r="Y66" s="155">
        <f t="shared" si="70"/>
        <v>427865.00343662425</v>
      </c>
      <c r="Z66" s="155">
        <f t="shared" si="70"/>
        <v>436422.30350535671</v>
      </c>
      <c r="AA66" s="155">
        <f t="shared" si="70"/>
        <v>445150.74957546382</v>
      </c>
      <c r="AB66" s="155">
        <f t="shared" si="70"/>
        <v>454053.76456697303</v>
      </c>
      <c r="AC66" s="155">
        <f t="shared" si="70"/>
        <v>463134.83985831263</v>
      </c>
      <c r="AD66" s="155">
        <f t="shared" si="70"/>
        <v>472397.53665547888</v>
      </c>
      <c r="AE66" s="155">
        <f t="shared" si="70"/>
        <v>481845.48738858849</v>
      </c>
      <c r="AF66" s="155">
        <f t="shared" si="70"/>
        <v>491482.39713636017</v>
      </c>
      <c r="AG66" s="155">
        <f t="shared" si="70"/>
        <v>501312.04507908743</v>
      </c>
      <c r="AH66" s="155">
        <f t="shared" si="70"/>
        <v>511338.2859806692</v>
      </c>
      <c r="AI66" s="155">
        <f t="shared" si="70"/>
        <v>521565.05170028267</v>
      </c>
      <c r="AJ66" s="155">
        <f t="shared" si="70"/>
        <v>531996.35273428832</v>
      </c>
      <c r="AK66" s="155">
        <f t="shared" si="70"/>
        <v>542636.27978897409</v>
      </c>
      <c r="AL66" s="155">
        <f t="shared" si="70"/>
        <v>553489.00538475357</v>
      </c>
      <c r="AM66" s="155">
        <f t="shared" si="70"/>
        <v>564558.78549244872</v>
      </c>
      <c r="AN66" s="155">
        <f t="shared" si="70"/>
        <v>575849.96120229771</v>
      </c>
      <c r="AO66" s="155">
        <f t="shared" si="70"/>
        <v>587366.9604263436</v>
      </c>
      <c r="AP66" s="155">
        <f t="shared" si="70"/>
        <v>599114.29963487037</v>
      </c>
      <c r="AQ66" s="155">
        <f t="shared" si="70"/>
        <v>611096.58562756795</v>
      </c>
      <c r="AR66" s="155">
        <f t="shared" si="70"/>
        <v>623318.51734011923</v>
      </c>
      <c r="AS66" s="155">
        <f t="shared" si="70"/>
        <v>635784.88768692175</v>
      </c>
      <c r="AT66" s="155">
        <f t="shared" si="70"/>
        <v>648500.58544066024</v>
      </c>
      <c r="AU66" s="155">
        <f t="shared" si="70"/>
        <v>661470.59714947338</v>
      </c>
      <c r="AV66" s="155">
        <f t="shared" si="70"/>
        <v>674700.00909246283</v>
      </c>
      <c r="AW66" s="155">
        <f t="shared" si="70"/>
        <v>688194.00927431218</v>
      </c>
      <c r="AX66" s="155">
        <f t="shared" si="70"/>
        <v>701957.88945979846</v>
      </c>
      <c r="AY66" s="155">
        <f t="shared" si="70"/>
        <v>715997.04724899458</v>
      </c>
      <c r="AZ66" s="155">
        <f t="shared" si="70"/>
        <v>730316.98819397436</v>
      </c>
      <c r="BA66" s="155">
        <f t="shared" si="70"/>
        <v>744923.32795785402</v>
      </c>
      <c r="BB66" s="155">
        <f t="shared" si="70"/>
        <v>759821.7945170108</v>
      </c>
      <c r="BC66" s="155">
        <f t="shared" si="70"/>
        <v>775018.23040735116</v>
      </c>
      <c r="BD66" s="155">
        <f t="shared" si="70"/>
        <v>790518.59501549823</v>
      </c>
    </row>
    <row r="67" spans="1:56" s="151" customFormat="1" x14ac:dyDescent="0.25">
      <c r="A67" s="150" t="s">
        <v>411</v>
      </c>
      <c r="B67" s="161" t="e">
        <f t="shared" ref="B67:AG67" si="71">(B66-A66)/B66</f>
        <v>#VALUE!</v>
      </c>
      <c r="C67" s="161" t="e">
        <f t="shared" si="71"/>
        <v>#DIV/0!</v>
      </c>
      <c r="D67" s="161" t="e">
        <f t="shared" si="71"/>
        <v>#DIV/0!</v>
      </c>
      <c r="E67" s="161" t="e">
        <f t="shared" si="71"/>
        <v>#DIV/0!</v>
      </c>
      <c r="F67" s="161" t="e">
        <f t="shared" si="71"/>
        <v>#DIV/0!</v>
      </c>
      <c r="G67" s="161" t="e">
        <f t="shared" si="71"/>
        <v>#DIV/0!</v>
      </c>
      <c r="H67" s="161" t="e">
        <f t="shared" si="71"/>
        <v>#DIV/0!</v>
      </c>
      <c r="I67" s="161" t="e">
        <f t="shared" si="71"/>
        <v>#DIV/0!</v>
      </c>
      <c r="J67" s="161">
        <f t="shared" si="71"/>
        <v>1</v>
      </c>
      <c r="K67" s="161">
        <f t="shared" si="71"/>
        <v>1.9607843137254936E-2</v>
      </c>
      <c r="L67" s="161">
        <f t="shared" si="71"/>
        <v>1.9607843137254905E-2</v>
      </c>
      <c r="M67" s="161">
        <f t="shared" si="71"/>
        <v>1.9607843137254995E-2</v>
      </c>
      <c r="N67" s="161">
        <f t="shared" si="71"/>
        <v>1.9607843137254711E-2</v>
      </c>
      <c r="O67" s="161">
        <f t="shared" si="71"/>
        <v>1.9607843137255204E-2</v>
      </c>
      <c r="P67" s="161">
        <f t="shared" si="71"/>
        <v>1.9607843137255006E-2</v>
      </c>
      <c r="Q67" s="161">
        <f t="shared" si="71"/>
        <v>1.9607843137254586E-2</v>
      </c>
      <c r="R67" s="161">
        <f t="shared" si="71"/>
        <v>1.9607843137255151E-2</v>
      </c>
      <c r="S67" s="161">
        <f t="shared" si="71"/>
        <v>1.9607843137254857E-2</v>
      </c>
      <c r="T67" s="161">
        <f t="shared" si="71"/>
        <v>1.9607843137255093E-2</v>
      </c>
      <c r="U67" s="161">
        <f t="shared" si="71"/>
        <v>1.9607843137254687E-2</v>
      </c>
      <c r="V67" s="161">
        <f t="shared" si="71"/>
        <v>1.960784313725495E-2</v>
      </c>
      <c r="W67" s="161">
        <f t="shared" si="71"/>
        <v>1.9607843137254947E-2</v>
      </c>
      <c r="X67" s="161">
        <f t="shared" si="71"/>
        <v>1.9607843137254923E-2</v>
      </c>
      <c r="Y67" s="161">
        <f t="shared" si="71"/>
        <v>1.9607843137255051E-2</v>
      </c>
      <c r="Z67" s="161">
        <f t="shared" si="71"/>
        <v>1.9607843137254864E-2</v>
      </c>
      <c r="AA67" s="161">
        <f t="shared" si="71"/>
        <v>1.9607843137254843E-2</v>
      </c>
      <c r="AB67" s="161">
        <f t="shared" si="71"/>
        <v>1.9607843137254746E-2</v>
      </c>
      <c r="AC67" s="161">
        <f t="shared" si="71"/>
        <v>1.9607843137255197E-2</v>
      </c>
      <c r="AD67" s="161">
        <f t="shared" si="71"/>
        <v>1.9607843137254902E-2</v>
      </c>
      <c r="AE67" s="161">
        <f t="shared" si="71"/>
        <v>1.9607843137254968E-2</v>
      </c>
      <c r="AF67" s="161">
        <f t="shared" si="71"/>
        <v>1.9607843137254735E-2</v>
      </c>
      <c r="AG67" s="161">
        <f t="shared" si="71"/>
        <v>1.9607843137255006E-2</v>
      </c>
      <c r="AH67" s="161">
        <f t="shared" ref="AH67:BD67" si="72">(AH66-AG66)/AH66</f>
        <v>1.960784313725494E-2</v>
      </c>
      <c r="AI67" s="161">
        <f t="shared" si="72"/>
        <v>1.9607843137255058E-2</v>
      </c>
      <c r="AJ67" s="161">
        <f t="shared" si="72"/>
        <v>1.9607843137254895E-2</v>
      </c>
      <c r="AK67" s="161">
        <f t="shared" si="72"/>
        <v>1.9607843137254916E-2</v>
      </c>
      <c r="AL67" s="161">
        <f t="shared" si="72"/>
        <v>1.9607843137254905E-2</v>
      </c>
      <c r="AM67" s="161">
        <f t="shared" si="72"/>
        <v>1.9607843137255027E-2</v>
      </c>
      <c r="AN67" s="161">
        <f t="shared" si="72"/>
        <v>1.9607843137254929E-2</v>
      </c>
      <c r="AO67" s="161">
        <f t="shared" si="72"/>
        <v>1.9607843137254805E-2</v>
      </c>
      <c r="AP67" s="161">
        <f t="shared" si="72"/>
        <v>1.9607843137254735E-2</v>
      </c>
      <c r="AQ67" s="161">
        <f t="shared" si="72"/>
        <v>1.9607843137255179E-2</v>
      </c>
      <c r="AR67" s="161">
        <f t="shared" si="72"/>
        <v>1.960784313725477E-2</v>
      </c>
      <c r="AS67" s="161">
        <f t="shared" si="72"/>
        <v>1.960784313725511E-2</v>
      </c>
      <c r="AT67" s="161">
        <f t="shared" si="72"/>
        <v>1.9607843137254992E-2</v>
      </c>
      <c r="AU67" s="161">
        <f t="shared" si="72"/>
        <v>1.9607843137254801E-2</v>
      </c>
      <c r="AV67" s="161">
        <f t="shared" si="72"/>
        <v>1.9607843137254874E-2</v>
      </c>
      <c r="AW67" s="161">
        <f t="shared" si="72"/>
        <v>1.960784313725503E-2</v>
      </c>
      <c r="AX67" s="161">
        <f t="shared" si="72"/>
        <v>1.9607843137254957E-2</v>
      </c>
      <c r="AY67" s="161">
        <f t="shared" si="72"/>
        <v>1.960784313725511E-2</v>
      </c>
      <c r="AZ67" s="161">
        <f t="shared" si="72"/>
        <v>1.9607843137254756E-2</v>
      </c>
      <c r="BA67" s="161">
        <f t="shared" si="72"/>
        <v>1.9607843137255127E-2</v>
      </c>
      <c r="BB67" s="161">
        <f t="shared" si="72"/>
        <v>1.960784313725451E-2</v>
      </c>
      <c r="BC67" s="161">
        <f t="shared" si="72"/>
        <v>1.9607843137255089E-2</v>
      </c>
      <c r="BD67" s="161">
        <f t="shared" si="72"/>
        <v>1.9607843137254954E-2</v>
      </c>
    </row>
    <row r="68" spans="1:56" s="151" customFormat="1" x14ac:dyDescent="0.25">
      <c r="B68" s="155"/>
      <c r="N68" s="221"/>
    </row>
    <row r="69" spans="1:56" s="151" customFormat="1" x14ac:dyDescent="0.25">
      <c r="A69" s="9" t="s">
        <v>55</v>
      </c>
      <c r="B69" s="62">
        <f>B15</f>
        <v>44317</v>
      </c>
      <c r="C69" s="62">
        <f>B69+31</f>
        <v>44348</v>
      </c>
      <c r="D69" s="62">
        <f t="shared" ref="D69:BD69" si="73">C69+31</f>
        <v>44379</v>
      </c>
      <c r="E69" s="62">
        <f t="shared" si="73"/>
        <v>44410</v>
      </c>
      <c r="F69" s="62">
        <f t="shared" si="73"/>
        <v>44441</v>
      </c>
      <c r="G69" s="62">
        <f t="shared" si="73"/>
        <v>44472</v>
      </c>
      <c r="H69" s="62">
        <f t="shared" si="73"/>
        <v>44503</v>
      </c>
      <c r="I69" s="62">
        <f t="shared" si="73"/>
        <v>44534</v>
      </c>
      <c r="J69" s="62">
        <f t="shared" si="73"/>
        <v>44565</v>
      </c>
      <c r="K69" s="62">
        <f t="shared" si="73"/>
        <v>44596</v>
      </c>
      <c r="L69" s="62">
        <f t="shared" si="73"/>
        <v>44627</v>
      </c>
      <c r="M69" s="62">
        <f t="shared" si="73"/>
        <v>44658</v>
      </c>
      <c r="N69" s="62">
        <f t="shared" si="73"/>
        <v>44689</v>
      </c>
      <c r="O69" s="62">
        <f t="shared" si="73"/>
        <v>44720</v>
      </c>
      <c r="P69" s="62">
        <f t="shared" si="73"/>
        <v>44751</v>
      </c>
      <c r="Q69" s="62">
        <f t="shared" si="73"/>
        <v>44782</v>
      </c>
      <c r="R69" s="62">
        <f t="shared" si="73"/>
        <v>44813</v>
      </c>
      <c r="S69" s="62">
        <f t="shared" si="73"/>
        <v>44844</v>
      </c>
      <c r="T69" s="62">
        <f t="shared" si="73"/>
        <v>44875</v>
      </c>
      <c r="U69" s="62">
        <f t="shared" si="73"/>
        <v>44906</v>
      </c>
      <c r="V69" s="62">
        <f t="shared" si="73"/>
        <v>44937</v>
      </c>
      <c r="W69" s="62">
        <f t="shared" si="73"/>
        <v>44968</v>
      </c>
      <c r="X69" s="62">
        <f t="shared" si="73"/>
        <v>44999</v>
      </c>
      <c r="Y69" s="62">
        <f t="shared" si="73"/>
        <v>45030</v>
      </c>
      <c r="Z69" s="62">
        <f t="shared" si="73"/>
        <v>45061</v>
      </c>
      <c r="AA69" s="62">
        <f t="shared" si="73"/>
        <v>45092</v>
      </c>
      <c r="AB69" s="62">
        <f t="shared" si="73"/>
        <v>45123</v>
      </c>
      <c r="AC69" s="62">
        <f t="shared" si="73"/>
        <v>45154</v>
      </c>
      <c r="AD69" s="62">
        <f t="shared" si="73"/>
        <v>45185</v>
      </c>
      <c r="AE69" s="62">
        <f t="shared" si="73"/>
        <v>45216</v>
      </c>
      <c r="AF69" s="62">
        <f t="shared" si="73"/>
        <v>45247</v>
      </c>
      <c r="AG69" s="62">
        <f t="shared" si="73"/>
        <v>45278</v>
      </c>
      <c r="AH69" s="62">
        <f t="shared" si="73"/>
        <v>45309</v>
      </c>
      <c r="AI69" s="62">
        <f t="shared" si="73"/>
        <v>45340</v>
      </c>
      <c r="AJ69" s="62">
        <f t="shared" si="73"/>
        <v>45371</v>
      </c>
      <c r="AK69" s="62">
        <f t="shared" si="73"/>
        <v>45402</v>
      </c>
      <c r="AL69" s="62">
        <f t="shared" si="73"/>
        <v>45433</v>
      </c>
      <c r="AM69" s="62">
        <f t="shared" si="73"/>
        <v>45464</v>
      </c>
      <c r="AN69" s="62">
        <f t="shared" si="73"/>
        <v>45495</v>
      </c>
      <c r="AO69" s="62">
        <f t="shared" si="73"/>
        <v>45526</v>
      </c>
      <c r="AP69" s="62">
        <f t="shared" si="73"/>
        <v>45557</v>
      </c>
      <c r="AQ69" s="62">
        <f t="shared" si="73"/>
        <v>45588</v>
      </c>
      <c r="AR69" s="62">
        <f t="shared" si="73"/>
        <v>45619</v>
      </c>
      <c r="AS69" s="62">
        <f t="shared" si="73"/>
        <v>45650</v>
      </c>
      <c r="AT69" s="62">
        <f t="shared" si="73"/>
        <v>45681</v>
      </c>
      <c r="AU69" s="62">
        <f t="shared" si="73"/>
        <v>45712</v>
      </c>
      <c r="AV69" s="62">
        <f t="shared" si="73"/>
        <v>45743</v>
      </c>
      <c r="AW69" s="62">
        <f t="shared" si="73"/>
        <v>45774</v>
      </c>
      <c r="AX69" s="62">
        <f t="shared" si="73"/>
        <v>45805</v>
      </c>
      <c r="AY69" s="62">
        <f t="shared" si="73"/>
        <v>45836</v>
      </c>
      <c r="AZ69" s="62">
        <f t="shared" si="73"/>
        <v>45867</v>
      </c>
      <c r="BA69" s="62">
        <f t="shared" si="73"/>
        <v>45898</v>
      </c>
      <c r="BB69" s="62">
        <f t="shared" si="73"/>
        <v>45929</v>
      </c>
      <c r="BC69" s="62">
        <f t="shared" si="73"/>
        <v>45960</v>
      </c>
      <c r="BD69" s="62">
        <f t="shared" si="73"/>
        <v>45991</v>
      </c>
    </row>
    <row r="70" spans="1:56" s="151" customFormat="1" outlineLevel="1" x14ac:dyDescent="0.25">
      <c r="A70" s="18" t="s">
        <v>359</v>
      </c>
      <c r="B70" s="158">
        <f>IF($C$16=1,$F$13,IF($C$16=2,$F$13/2,IF($C$16=3,$F$13/3,IF($C$16=4,$F$13/4,IF($C$16=5,$F$13/5,IF($C$16=6,$F$13/6,IF($C$16=7,$F$13/7,IF($C$16=8,$F$13/8,"0"))))))))</f>
        <v>22995</v>
      </c>
      <c r="C70" s="158">
        <f>IF($C$16=2,$F$13/2,IF($C$16=3,$F$13/3,IF($C$16=4,$F$13/4,IF($C$16=5,$F$13/5,IF($C$16=6,$F$13/6,IF($C$16=7,$F$13/7,IF($C$16=8,$F$13/8,"0")))))))</f>
        <v>22995</v>
      </c>
      <c r="D70" s="158">
        <f>IF($C$16=3,$F$13/3,IF($C$16=4,$F$13/4,IF($C$16=5,$F$13/5,IF($C$16=6,$F$13/6,IF($C$16=7,$F$13/7,IF($C$16=8,$F$13/8,"0"))))))</f>
        <v>22995</v>
      </c>
      <c r="E70" s="158">
        <f>IF($C$16=4,$F$13/4,IF($C$16=5,$F$13/5,IF($C$16=6,$F$13/6,IF($C$16=7,$F$13/7,IF($C$16=8,$F$13/8,"0")))))</f>
        <v>22995</v>
      </c>
      <c r="F70" s="158">
        <f>IF($C$16=5,$F$13/5,IF($C$16=6,$F$13/6,IF($C$16=7,$F$13/7,IF($C$16=8,$F$13/8,"0"))))</f>
        <v>22995</v>
      </c>
      <c r="G70" s="158">
        <f>IF($C$16=6,$F$13/6,IF($C$16=7,$F$13/7,IF($C$16=8,$F$13/8,"0")))</f>
        <v>22995</v>
      </c>
      <c r="H70" s="158" t="str">
        <f>IF($C$16=7,$F$13/7,IF($C$16=8,$F$13/8,"0"))</f>
        <v>0</v>
      </c>
      <c r="I70" s="158" t="str">
        <f>IF($C$16=8,$F$13/8,"0")</f>
        <v>0</v>
      </c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</row>
    <row r="71" spans="1:56" s="151" customFormat="1" outlineLevel="1" x14ac:dyDescent="0.25">
      <c r="A71" s="18" t="s">
        <v>360</v>
      </c>
      <c r="B71" s="230"/>
      <c r="C71" s="231" t="b">
        <f>IF(C70="",IF($C$19=1,$M$13,IF($C$19=2,$M$13/2,IF($C$19=3,$M$13/3,IF($C$19=4,$M$13/4,IF($C$19=5,$M$13/5))))))</f>
        <v>0</v>
      </c>
      <c r="D71" s="231" t="b">
        <f>IF(C71=M10,0,IF(D70="0",IF($C$19=1,$M$13,IF($C$19=2,$M$13/2,IF($C$19=3,$M$13/3,IF($C$19=4,$M$13/4,IF($C$19=5,$M$13/5)))))))</f>
        <v>0</v>
      </c>
      <c r="E71" s="231" t="b">
        <f>IF(SUM($C$71:D71)=$M$13,0,IF(E70="0",IF($C$19=1,$M$13,IF($C$19=2,$M$13/2,IF($C$19=3,$M$13/3,IF($C$19=4,$M$13/4,IF($C$19=5,$M$13/5)))))))</f>
        <v>0</v>
      </c>
      <c r="F71" s="231" t="b">
        <f>IF(SUM($C$71:E71)=$M$13,0,IF(F70="0",IF($C$19=1,$M$13,IF($C$19=2,$M$13/2,IF($C$19=3,$M$13/3,IF($C$19=4,$M$13/4,IF($C$19=5,$M$13/5)))))))</f>
        <v>0</v>
      </c>
      <c r="G71" s="231" t="b">
        <f>IF(SUM($C$71:F71)=$M$13,0,IF(G70="0",IF($C$19=1,$M$13,IF($C$19=2,$M$13/2,IF($C$19=3,$M$13/3,IF($C$19=4,$M$13/4,IF($C$19=5,$M$13/5)))))))</f>
        <v>0</v>
      </c>
      <c r="H71" s="231">
        <f>IF(SUM($C$71:G71)=$M$13,0,IF(H70="0",IF($C$19=1,$M$13,IF($C$19=2,$M$13/2,IF($C$19=3,$M$13/3,IF($C$19=4,$M$13/4,IF($C$19=5,$M$13/5)))))))</f>
        <v>10871</v>
      </c>
      <c r="I71" s="231">
        <f>IF(SUM($C$71:H71)=$M$13,0,IF(I70="0",IF($C$19=1,$M$13,IF($C$19=2,$M$13/2,IF($C$19=3,$M$13/3,IF($C$19=4,$M$13/4,IF($C$19=5,$M$13/5)))))))</f>
        <v>10871</v>
      </c>
      <c r="J71" s="231">
        <f>IF(SUM($C$71:I71)=$M$13,0,IF(J70="0",IF($C$19=1,$M$13,IF($C$19=2,$M$13/2,IF($C$19=3,$M$13/3,IF($C$19=4,$M$13/4,IF($C$19=5,$M$13/5)))))))</f>
        <v>0</v>
      </c>
      <c r="K71" s="231">
        <f>IF(SUM($C$71:J71)=$M$13,0,IF(K70="0",IF($C$19=1,$M$13,IF($C$19=2,$M$13/2,IF($C$19=3,$M$13/3,IF($C$19=4,$M$13/4,IF($C$19=5,$M$13/5)))))))</f>
        <v>0</v>
      </c>
      <c r="L71" s="231">
        <f>IF(SUM($C$71:K71)=$M$13,0,IF(L70="0",IF($C$19=1,$M$13,IF($C$19=2,$M$13/2,IF($C$19=3,$M$13/3,IF($C$19=4,$M$13/4,IF($C$19=5,$M$13/5)))))))</f>
        <v>0</v>
      </c>
      <c r="M71" s="231">
        <f>IF(SUM($C$71:L71)=$M$13,0,IF(M70="0",IF($C$19=1,$M$13,IF($C$19=2,$M$13/2,IF($C$19=3,$M$13/3,IF($C$19=4,$M$13/4,IF($C$19=5,$M$13/5)))))))</f>
        <v>0</v>
      </c>
      <c r="N71" s="231">
        <f>IF(SUM($C$71:M71)=$M$13,0,IF(N70="0",IF($C$19=1,$M$13,IF($C$19=2,$M$13/2,IF($C$19=3,$M$13/3,IF($C$19=4,$M$13/4,IF($C$19=5,$M$13/5)))))))</f>
        <v>0</v>
      </c>
      <c r="O71" s="231">
        <f>IF(SUM($C$71:N71)=$M$13,0,IF(O70="0",IF($C$19=1,$M$13,IF($C$19=2,$M$13/2,IF($C$19=3,$M$13/3,IF($C$19=4,$M$13/4,IF($C$19=5,$M$13/5)))))))</f>
        <v>0</v>
      </c>
      <c r="P71" s="231">
        <f>IF(SUM($C$71:O71)=$M$13,0,IF(P70="0",IF($C$19=1,$M$13,IF($C$19=2,$M$13/2,IF($C$19=3,$M$13/3,IF($C$19=4,$M$13/4,IF($C$19=5,$M$13/5)))))))</f>
        <v>0</v>
      </c>
      <c r="Q71" s="231">
        <f>IF(SUM($C$71:P71)=$M$13,0,IF(Q70="0",IF($C$19=1,$M$13,IF($C$19=2,$M$13/2,IF($C$19=3,$M$13/3,IF($C$19=4,$M$13/4,IF($C$19=5,$M$13/5)))))))</f>
        <v>0</v>
      </c>
      <c r="R71" s="231">
        <f>IF(SUM($C$71:Q71)=$M$13,0,IF(R70="0",IF($C$19=1,$M$13,IF($C$19=2,$M$13/2,IF($C$19=3,$M$13/3,IF($C$19=4,$M$13/4,IF($C$19=5,$M$13/5)))))))</f>
        <v>0</v>
      </c>
      <c r="S71" s="231">
        <f>IF(SUM($C$71:R71)=$M$13,0,IF(S70="0",IF($C$19=1,$M$13,IF($C$19=2,$M$13/2,IF($C$19=3,$M$13/3,IF($C$19=4,$M$13/4,IF($C$19=5,$M$13/5)))))))</f>
        <v>0</v>
      </c>
      <c r="T71" s="231">
        <f>IF(SUM($C$71:S71)=$M$13,0,IF(T70="0",IF($C$19=1,$M$13,IF($C$19=2,$M$13/2,IF($C$19=3,$M$13/3,IF($C$19=4,$M$13/4,IF($C$19=5,$M$13/5)))))))</f>
        <v>0</v>
      </c>
      <c r="U71" s="231">
        <f>IF(SUM($C$71:T71)=$M$13,0,IF(U70="0",IF($C$19=1,$M$13,IF($C$19=2,$M$13/2,IF($C$19=3,$M$13/3,IF($C$19=4,$M$13/4,IF($C$19=5,$M$13/5)))))))</f>
        <v>0</v>
      </c>
      <c r="V71" s="231">
        <f>IF(SUM($C$71:U71)=$M$13,0,IF(V70="0",IF($C$19=1,$M$13,IF($C$19=2,$M$13/2,IF($C$19=3,$M$13/3,IF($C$19=4,$M$13/4,IF($C$19=5,$M$13/5)))))))</f>
        <v>0</v>
      </c>
      <c r="W71" s="231">
        <f>IF(SUM($C$71:V71)=$M$13,0,IF(W70="0",IF($C$19=1,$M$13,IF($C$19=2,$M$13/2,IF($C$19=3,$M$13/3,IF($C$19=4,$M$13/4,IF($C$19=5,$M$13/5)))))))</f>
        <v>0</v>
      </c>
      <c r="X71" s="231">
        <f>IF(SUM($C$71:W71)=$M$13,0,IF(X70="0",IF($C$19=1,$M$13,IF($C$19=2,$M$13/2,IF($C$19=3,$M$13/3,IF($C$19=4,$M$13/4,IF($C$19=5,$M$13/5)))))))</f>
        <v>0</v>
      </c>
      <c r="Y71" s="231">
        <f>IF(SUM($C$71:X71)=$M$13,0,IF(Y70="0",IF($C$19=1,$M$13,IF($C$19=2,$M$13/2,IF($C$19=3,$M$13/3,IF($C$19=4,$M$13/4,IF($C$19=5,$M$13/5)))))))</f>
        <v>0</v>
      </c>
      <c r="Z71" s="231">
        <f>IF(SUM($C$71:Y71)=$M$13,0,IF(Z70="0",IF($C$19=1,$M$13,IF($C$19=2,$M$13/2,IF($C$19=3,$M$13/3,IF($C$19=4,$M$13/4,IF($C$19=5,$M$13/5)))))))</f>
        <v>0</v>
      </c>
      <c r="AA71" s="231">
        <f>IF(SUM($C$71:Z71)=$M$13,0,IF(AA70="0",IF($C$19=1,$M$13,IF($C$19=2,$M$13/2,IF($C$19=3,$M$13/3,IF($C$19=4,$M$13/4,IF($C$19=5,$M$13/5)))))))</f>
        <v>0</v>
      </c>
      <c r="AB71" s="231">
        <f>IF(SUM($C$71:AA71)=$M$13,0,IF(AB70="0",IF($C$19=1,$M$13,IF($C$19=2,$M$13/2,IF($C$19=3,$M$13/3,IF($C$19=4,$M$13/4,IF($C$19=5,$M$13/5)))))))</f>
        <v>0</v>
      </c>
      <c r="AC71" s="231">
        <f>IF(SUM($C$71:AB71)=$M$13,0,IF(AC70="0",IF($C$19=1,$M$13,IF($C$19=2,$M$13/2,IF($C$19=3,$M$13/3,IF($C$19=4,$M$13/4,IF($C$19=5,$M$13/5)))))))</f>
        <v>0</v>
      </c>
      <c r="AD71" s="231">
        <f>IF(SUM($C$71:AC71)=$M$13,0,IF(AD70="0",IF($C$19=1,$M$13,IF($C$19=2,$M$13/2,IF($C$19=3,$M$13/3,IF($C$19=4,$M$13/4,IF($C$19=5,$M$13/5)))))))</f>
        <v>0</v>
      </c>
      <c r="AE71" s="231">
        <f>IF(SUM($C$71:AD71)=$M$13,0,IF(AE70="0",IF($C$19=1,$M$13,IF($C$19=2,$M$13/2,IF($C$19=3,$M$13/3,IF($C$19=4,$M$13/4,IF($C$19=5,$M$13/5)))))))</f>
        <v>0</v>
      </c>
      <c r="AF71" s="231">
        <f>IF(SUM($C$71:AE71)=$M$13,0,IF(AF70="0",IF($C$19=1,$M$13,IF($C$19=2,$M$13/2,IF($C$19=3,$M$13/3,IF($C$19=4,$M$13/4,IF($C$19=5,$M$13/5)))))))</f>
        <v>0</v>
      </c>
      <c r="AG71" s="231">
        <f>IF(SUM($C$71:AF71)=$M$13,0,IF(AG70="0",IF($C$19=1,$M$13,IF($C$19=2,$M$13/2,IF($C$19=3,$M$13/3,IF($C$19=4,$M$13/4,IF($C$19=5,$M$13/5)))))))</f>
        <v>0</v>
      </c>
      <c r="AH71" s="231">
        <f>IF(SUM($C$71:AG71)=$M$13,0,IF(AH70="0",IF($C$19=1,$M$13,IF($C$19=2,$M$13/2,IF($C$19=3,$M$13/3,IF($C$19=4,$M$13/4,IF($C$19=5,$M$13/5)))))))</f>
        <v>0</v>
      </c>
      <c r="AI71" s="231">
        <f>IF(SUM($C$71:AH71)=$M$13,0,IF(AI70="0",IF($C$19=1,$M$13,IF($C$19=2,$M$13/2,IF($C$19=3,$M$13/3,IF($C$19=4,$M$13/4,IF($C$19=5,$M$13/5)))))))</f>
        <v>0</v>
      </c>
      <c r="AJ71" s="231">
        <f>IF(SUM($C$71:AI71)=$M$13,0,IF(AJ70="0",IF($C$19=1,$M$13,IF($C$19=2,$M$13/2,IF($C$19=3,$M$13/3,IF($C$19=4,$M$13/4,IF($C$19=5,$M$13/5)))))))</f>
        <v>0</v>
      </c>
      <c r="AK71" s="231">
        <f>IF(SUM($C$71:AJ71)=$M$13,0,IF(AK70="0",IF($C$19=1,$M$13,IF($C$19=2,$M$13/2,IF($C$19=3,$M$13/3,IF($C$19=4,$M$13/4,IF($C$19=5,$M$13/5)))))))</f>
        <v>0</v>
      </c>
      <c r="AL71" s="231">
        <f>IF(SUM($C$71:AK71)=$M$13,0,IF(AL70="0",IF($C$19=1,$M$13,IF($C$19=2,$M$13/2,IF($C$19=3,$M$13/3,IF($C$19=4,$M$13/4,IF($C$19=5,$M$13/5)))))))</f>
        <v>0</v>
      </c>
      <c r="AM71" s="231">
        <f>IF(SUM($C$71:AL71)=$M$13,0,IF(AM70="0",IF($C$19=1,$M$13,IF($C$19=2,$M$13/2,IF($C$19=3,$M$13/3,IF($C$19=4,$M$13/4,IF($C$19=5,$M$13/5)))))))</f>
        <v>0</v>
      </c>
      <c r="AN71" s="231">
        <f>IF(SUM($C$71:AM71)=$M$13,0,IF(AN70="0",IF($C$19=1,$M$13,IF($C$19=2,$M$13/2,IF($C$19=3,$M$13/3,IF($C$19=4,$M$13/4,IF($C$19=5,$M$13/5)))))))</f>
        <v>0</v>
      </c>
      <c r="AO71" s="231">
        <f>IF(SUM($C$71:AN71)=$M$13,0,IF(AO70="0",IF($C$19=1,$M$13,IF($C$19=2,$M$13/2,IF($C$19=3,$M$13/3,IF($C$19=4,$M$13/4,IF($C$19=5,$M$13/5)))))))</f>
        <v>0</v>
      </c>
      <c r="AP71" s="231">
        <f>IF(SUM($C$71:AO71)=$M$13,0,IF(AP70="0",IF($C$19=1,$M$13,IF($C$19=2,$M$13/2,IF($C$19=3,$M$13/3,IF($C$19=4,$M$13/4,IF($C$19=5,$M$13/5)))))))</f>
        <v>0</v>
      </c>
      <c r="AQ71" s="231">
        <f>IF(SUM($C$71:AP71)=$M$13,0,IF(AQ70="0",IF($C$19=1,$M$13,IF($C$19=2,$M$13/2,IF($C$19=3,$M$13/3,IF($C$19=4,$M$13/4,IF($C$19=5,$M$13/5)))))))</f>
        <v>0</v>
      </c>
      <c r="AR71" s="231">
        <f>IF(SUM($C$71:AQ71)=$M$13,0,IF(AR70="0",IF($C$19=1,$M$13,IF($C$19=2,$M$13/2,IF($C$19=3,$M$13/3,IF($C$19=4,$M$13/4,IF($C$19=5,$M$13/5)))))))</f>
        <v>0</v>
      </c>
      <c r="AS71" s="231">
        <f>IF(SUM($C$71:AR71)=$M$13,0,IF(AS70="0",IF($C$19=1,$M$13,IF($C$19=2,$M$13/2,IF($C$19=3,$M$13/3,IF($C$19=4,$M$13/4,IF($C$19=5,$M$13/5)))))))</f>
        <v>0</v>
      </c>
      <c r="AT71" s="231">
        <f>IF(SUM($C$71:AS71)=$M$13,0,IF(AT70="0",IF($C$19=1,$M$13,IF($C$19=2,$M$13/2,IF($C$19=3,$M$13/3,IF($C$19=4,$M$13/4,IF($C$19=5,$M$13/5)))))))</f>
        <v>0</v>
      </c>
      <c r="AU71" s="231">
        <f>IF(SUM($C$71:AT71)=$M$13,0,IF(AU70="0",IF($C$19=1,$M$13,IF($C$19=2,$M$13/2,IF($C$19=3,$M$13/3,IF($C$19=4,$M$13/4,IF($C$19=5,$M$13/5)))))))</f>
        <v>0</v>
      </c>
      <c r="AV71" s="231">
        <f>IF(SUM($C$71:AU71)=$M$13,0,IF(AV70="0",IF($C$19=1,$M$13,IF($C$19=2,$M$13/2,IF($C$19=3,$M$13/3,IF($C$19=4,$M$13/4,IF($C$19=5,$M$13/5)))))))</f>
        <v>0</v>
      </c>
      <c r="AW71" s="231">
        <f>IF(SUM($C$71:AV71)=$M$13,0,IF(AW70="0",IF($C$19=1,$M$13,IF($C$19=2,$M$13/2,IF($C$19=3,$M$13/3,IF($C$19=4,$M$13/4,IF($C$19=5,$M$13/5)))))))</f>
        <v>0</v>
      </c>
      <c r="AX71" s="231">
        <f>IF(SUM($C$71:AW71)=$M$13,0,IF(AX70="0",IF($C$19=1,$M$13,IF($C$19=2,$M$13/2,IF($C$19=3,$M$13/3,IF($C$19=4,$M$13/4,IF($C$19=5,$M$13/5)))))))</f>
        <v>0</v>
      </c>
      <c r="AY71" s="231">
        <f>IF(SUM($C$71:AX71)=$M$13,0,IF(AY70="0",IF($C$19=1,$M$13,IF($C$19=2,$M$13/2,IF($C$19=3,$M$13/3,IF($C$19=4,$M$13/4,IF($C$19=5,$M$13/5)))))))</f>
        <v>0</v>
      </c>
      <c r="AZ71" s="231">
        <f>IF(SUM($C$71:AY71)=$M$13,0,IF(AZ70="0",IF($C$19=1,$M$13,IF($C$19=2,$M$13/2,IF($C$19=3,$M$13/3,IF($C$19=4,$M$13/4,IF($C$19=5,$M$13/5)))))))</f>
        <v>0</v>
      </c>
      <c r="BA71" s="231">
        <f>IF(SUM($C$71:AZ71)=$M$13,0,IF(BA70="0",IF($C$19=1,$M$13,IF($C$19=2,$M$13/2,IF($C$19=3,$M$13/3,IF($C$19=4,$M$13/4,IF($C$19=5,$M$13/5)))))))</f>
        <v>0</v>
      </c>
      <c r="BB71" s="231">
        <f>IF(SUM($C$71:BA71)=$M$13,0,IF(BB70="0",IF($C$19=1,$M$13,IF($C$19=2,$M$13/2,IF($C$19=3,$M$13/3,IF($C$19=4,$M$13/4,IF($C$19=5,$M$13/5)))))))</f>
        <v>0</v>
      </c>
      <c r="BC71" s="231">
        <f>IF(SUM($C$71:BB71)=$M$13,0,IF(BC70="0",IF($C$19=1,$M$13,IF($C$19=2,$M$13/2,IF($C$19=3,$M$13/3,IF($C$19=4,$M$13/4,IF($C$19=5,$M$13/5)))))))</f>
        <v>0</v>
      </c>
      <c r="BD71" s="231">
        <f>IF(SUM($C$71:BC71)=$M$13,0,IF(BD70="0",IF($C$19=1,$M$13,IF($C$19=2,$M$13/2,IF($C$19=3,$M$13/3,IF($C$19=4,$M$13/4,IF($C$19=5,$M$13/5)))))))</f>
        <v>0</v>
      </c>
    </row>
    <row r="72" spans="1:56" s="151" customFormat="1" outlineLevel="1" x14ac:dyDescent="0.25">
      <c r="A72" s="18" t="s">
        <v>467</v>
      </c>
      <c r="B72" s="296" t="str">
        <f>IF(SUM(B70:B71)&gt;0,"0",$I$22)</f>
        <v>0</v>
      </c>
      <c r="C72" s="296" t="str">
        <f t="shared" ref="C72:BD72" si="74">IF(SUM(C70:C71)&gt;0,"0",$I$22)</f>
        <v>0</v>
      </c>
      <c r="D72" s="296" t="str">
        <f t="shared" si="74"/>
        <v>0</v>
      </c>
      <c r="E72" s="296" t="str">
        <f t="shared" si="74"/>
        <v>0</v>
      </c>
      <c r="F72" s="296" t="str">
        <f t="shared" si="74"/>
        <v>0</v>
      </c>
      <c r="G72" s="296" t="str">
        <f t="shared" si="74"/>
        <v>0</v>
      </c>
      <c r="H72" s="296" t="str">
        <f t="shared" si="74"/>
        <v>0</v>
      </c>
      <c r="I72" s="296" t="str">
        <f t="shared" si="74"/>
        <v>0</v>
      </c>
      <c r="J72" s="296">
        <f t="shared" si="74"/>
        <v>15000</v>
      </c>
      <c r="K72" s="296">
        <f t="shared" si="74"/>
        <v>15000</v>
      </c>
      <c r="L72" s="296">
        <f t="shared" si="74"/>
        <v>15000</v>
      </c>
      <c r="M72" s="296">
        <f t="shared" si="74"/>
        <v>15000</v>
      </c>
      <c r="N72" s="296">
        <f t="shared" si="74"/>
        <v>15000</v>
      </c>
      <c r="O72" s="296">
        <f t="shared" si="74"/>
        <v>15000</v>
      </c>
      <c r="P72" s="296">
        <f t="shared" si="74"/>
        <v>15000</v>
      </c>
      <c r="Q72" s="296">
        <f t="shared" si="74"/>
        <v>15000</v>
      </c>
      <c r="R72" s="296">
        <f t="shared" si="74"/>
        <v>15000</v>
      </c>
      <c r="S72" s="296">
        <f t="shared" si="74"/>
        <v>15000</v>
      </c>
      <c r="T72" s="296">
        <f t="shared" si="74"/>
        <v>15000</v>
      </c>
      <c r="U72" s="296">
        <f t="shared" si="74"/>
        <v>15000</v>
      </c>
      <c r="V72" s="296">
        <f t="shared" si="74"/>
        <v>15000</v>
      </c>
      <c r="W72" s="296">
        <f t="shared" si="74"/>
        <v>15000</v>
      </c>
      <c r="X72" s="296">
        <f t="shared" si="74"/>
        <v>15000</v>
      </c>
      <c r="Y72" s="296">
        <f t="shared" si="74"/>
        <v>15000</v>
      </c>
      <c r="Z72" s="296">
        <f t="shared" si="74"/>
        <v>15000</v>
      </c>
      <c r="AA72" s="296">
        <f t="shared" si="74"/>
        <v>15000</v>
      </c>
      <c r="AB72" s="296">
        <f t="shared" si="74"/>
        <v>15000</v>
      </c>
      <c r="AC72" s="296">
        <f t="shared" si="74"/>
        <v>15000</v>
      </c>
      <c r="AD72" s="296">
        <f t="shared" si="74"/>
        <v>15000</v>
      </c>
      <c r="AE72" s="296">
        <f t="shared" si="74"/>
        <v>15000</v>
      </c>
      <c r="AF72" s="296">
        <f t="shared" si="74"/>
        <v>15000</v>
      </c>
      <c r="AG72" s="296">
        <f t="shared" si="74"/>
        <v>15000</v>
      </c>
      <c r="AH72" s="296">
        <f t="shared" si="74"/>
        <v>15000</v>
      </c>
      <c r="AI72" s="296">
        <f t="shared" si="74"/>
        <v>15000</v>
      </c>
      <c r="AJ72" s="296">
        <f t="shared" si="74"/>
        <v>15000</v>
      </c>
      <c r="AK72" s="296">
        <f t="shared" si="74"/>
        <v>15000</v>
      </c>
      <c r="AL72" s="296">
        <f t="shared" si="74"/>
        <v>15000</v>
      </c>
      <c r="AM72" s="296">
        <f t="shared" si="74"/>
        <v>15000</v>
      </c>
      <c r="AN72" s="296">
        <f t="shared" si="74"/>
        <v>15000</v>
      </c>
      <c r="AO72" s="296">
        <f t="shared" si="74"/>
        <v>15000</v>
      </c>
      <c r="AP72" s="296">
        <f t="shared" si="74"/>
        <v>15000</v>
      </c>
      <c r="AQ72" s="296">
        <f t="shared" si="74"/>
        <v>15000</v>
      </c>
      <c r="AR72" s="296">
        <f t="shared" si="74"/>
        <v>15000</v>
      </c>
      <c r="AS72" s="296">
        <f t="shared" si="74"/>
        <v>15000</v>
      </c>
      <c r="AT72" s="296">
        <f t="shared" si="74"/>
        <v>15000</v>
      </c>
      <c r="AU72" s="296">
        <f t="shared" si="74"/>
        <v>15000</v>
      </c>
      <c r="AV72" s="296">
        <f t="shared" si="74"/>
        <v>15000</v>
      </c>
      <c r="AW72" s="296">
        <f t="shared" si="74"/>
        <v>15000</v>
      </c>
      <c r="AX72" s="296">
        <f t="shared" si="74"/>
        <v>15000</v>
      </c>
      <c r="AY72" s="296">
        <f t="shared" si="74"/>
        <v>15000</v>
      </c>
      <c r="AZ72" s="296">
        <f t="shared" si="74"/>
        <v>15000</v>
      </c>
      <c r="BA72" s="296">
        <f t="shared" si="74"/>
        <v>15000</v>
      </c>
      <c r="BB72" s="296">
        <f t="shared" si="74"/>
        <v>15000</v>
      </c>
      <c r="BC72" s="296">
        <f t="shared" si="74"/>
        <v>15000</v>
      </c>
      <c r="BD72" s="296">
        <f t="shared" si="74"/>
        <v>15000</v>
      </c>
    </row>
    <row r="73" spans="1:56" s="151" customFormat="1" outlineLevel="1" x14ac:dyDescent="0.25">
      <c r="A73" s="18" t="s">
        <v>364</v>
      </c>
      <c r="B73" s="158">
        <f>I16</f>
        <v>5000</v>
      </c>
      <c r="C73" s="194">
        <f>B73*(1+$I$17)</f>
        <v>5074.9999999999991</v>
      </c>
      <c r="D73" s="194">
        <f t="shared" ref="D73:BD73" si="75">C73*(1+$I$17)</f>
        <v>5151.1249999999982</v>
      </c>
      <c r="E73" s="194">
        <f t="shared" si="75"/>
        <v>5228.3918749999975</v>
      </c>
      <c r="F73" s="194">
        <f t="shared" si="75"/>
        <v>5306.8177531249967</v>
      </c>
      <c r="G73" s="194">
        <f t="shared" si="75"/>
        <v>5386.4200194218711</v>
      </c>
      <c r="H73" s="194">
        <f t="shared" si="75"/>
        <v>5467.2163197131986</v>
      </c>
      <c r="I73" s="194">
        <f t="shared" si="75"/>
        <v>5549.224564508896</v>
      </c>
      <c r="J73" s="194">
        <f t="shared" si="75"/>
        <v>5632.4629329765294</v>
      </c>
      <c r="K73" s="194">
        <f t="shared" si="75"/>
        <v>5716.9498769711763</v>
      </c>
      <c r="L73" s="194">
        <f t="shared" si="75"/>
        <v>5802.7041251257433</v>
      </c>
      <c r="M73" s="194">
        <f t="shared" si="75"/>
        <v>5889.7446870026288</v>
      </c>
      <c r="N73" s="194">
        <f t="shared" si="75"/>
        <v>5978.0908573076676</v>
      </c>
      <c r="O73" s="194">
        <f t="shared" si="75"/>
        <v>6067.7622201672821</v>
      </c>
      <c r="P73" s="194">
        <f t="shared" si="75"/>
        <v>6158.7786534697907</v>
      </c>
      <c r="Q73" s="194">
        <f t="shared" si="75"/>
        <v>6251.1603332718369</v>
      </c>
      <c r="R73" s="194">
        <f t="shared" si="75"/>
        <v>6344.9277382709142</v>
      </c>
      <c r="S73" s="194">
        <f t="shared" si="75"/>
        <v>6440.1016543449778</v>
      </c>
      <c r="T73" s="194">
        <f t="shared" si="75"/>
        <v>6536.7031791601521</v>
      </c>
      <c r="U73" s="194">
        <f t="shared" si="75"/>
        <v>6634.7537268475535</v>
      </c>
      <c r="V73" s="194">
        <f t="shared" si="75"/>
        <v>6734.2750327502663</v>
      </c>
      <c r="W73" s="194">
        <f t="shared" si="75"/>
        <v>6835.2891582415195</v>
      </c>
      <c r="X73" s="194">
        <f t="shared" si="75"/>
        <v>6937.8184956151417</v>
      </c>
      <c r="Y73" s="194">
        <f t="shared" si="75"/>
        <v>7041.8857730493683</v>
      </c>
      <c r="Z73" s="194">
        <f t="shared" si="75"/>
        <v>7147.5140596451083</v>
      </c>
      <c r="AA73" s="194">
        <f t="shared" si="75"/>
        <v>7254.7267705397844</v>
      </c>
      <c r="AB73" s="194">
        <f t="shared" si="75"/>
        <v>7363.5476720978804</v>
      </c>
      <c r="AC73" s="194">
        <f t="shared" si="75"/>
        <v>7474.000887179348</v>
      </c>
      <c r="AD73" s="194">
        <f t="shared" si="75"/>
        <v>7586.1109004870377</v>
      </c>
      <c r="AE73" s="194">
        <f t="shared" si="75"/>
        <v>7699.9025639943429</v>
      </c>
      <c r="AF73" s="194">
        <f t="shared" si="75"/>
        <v>7815.4011024542569</v>
      </c>
      <c r="AG73" s="194">
        <f t="shared" si="75"/>
        <v>7932.6321189910705</v>
      </c>
      <c r="AH73" s="194">
        <f t="shared" si="75"/>
        <v>8051.6216007759358</v>
      </c>
      <c r="AI73" s="194">
        <f t="shared" si="75"/>
        <v>8172.3959247875737</v>
      </c>
      <c r="AJ73" s="194">
        <f t="shared" si="75"/>
        <v>8294.9818636593864</v>
      </c>
      <c r="AK73" s="194">
        <f t="shared" si="75"/>
        <v>8419.4065916142772</v>
      </c>
      <c r="AL73" s="194">
        <f t="shared" si="75"/>
        <v>8545.6976904884905</v>
      </c>
      <c r="AM73" s="194">
        <f t="shared" si="75"/>
        <v>8673.8831558458169</v>
      </c>
      <c r="AN73" s="194">
        <f t="shared" si="75"/>
        <v>8803.9914031835033</v>
      </c>
      <c r="AO73" s="194">
        <f t="shared" si="75"/>
        <v>8936.0512742312549</v>
      </c>
      <c r="AP73" s="194">
        <f t="shared" si="75"/>
        <v>9070.0920433447227</v>
      </c>
      <c r="AQ73" s="194">
        <f t="shared" si="75"/>
        <v>9206.1434239948921</v>
      </c>
      <c r="AR73" s="194">
        <f t="shared" si="75"/>
        <v>9344.2355753548145</v>
      </c>
      <c r="AS73" s="194">
        <f t="shared" si="75"/>
        <v>9484.3991089851352</v>
      </c>
      <c r="AT73" s="194">
        <f t="shared" si="75"/>
        <v>9626.6650956199119</v>
      </c>
      <c r="AU73" s="194">
        <f t="shared" si="75"/>
        <v>9771.0650720542089</v>
      </c>
      <c r="AV73" s="194">
        <f t="shared" si="75"/>
        <v>9917.631048135021</v>
      </c>
      <c r="AW73" s="194">
        <f t="shared" si="75"/>
        <v>10066.395513857045</v>
      </c>
      <c r="AX73" s="194">
        <f t="shared" si="75"/>
        <v>10217.3914465649</v>
      </c>
      <c r="AY73" s="194">
        <f t="shared" si="75"/>
        <v>10370.652318263372</v>
      </c>
      <c r="AZ73" s="194">
        <f t="shared" si="75"/>
        <v>10526.212103037322</v>
      </c>
      <c r="BA73" s="194">
        <f t="shared" si="75"/>
        <v>10684.10528458288</v>
      </c>
      <c r="BB73" s="194">
        <f t="shared" si="75"/>
        <v>10844.366863851623</v>
      </c>
      <c r="BC73" s="194">
        <f t="shared" si="75"/>
        <v>11007.032366809397</v>
      </c>
      <c r="BD73" s="194">
        <f t="shared" si="75"/>
        <v>11172.137852311536</v>
      </c>
    </row>
    <row r="74" spans="1:56" s="151" customFormat="1" ht="17" outlineLevel="1" thickBot="1" x14ac:dyDescent="0.3">
      <c r="A74" s="18" t="s">
        <v>536</v>
      </c>
      <c r="B74" s="158">
        <f>B55</f>
        <v>0</v>
      </c>
      <c r="C74" s="158">
        <f t="shared" ref="C74:BD74" si="76">C55</f>
        <v>0</v>
      </c>
      <c r="D74" s="158">
        <f t="shared" si="76"/>
        <v>0</v>
      </c>
      <c r="E74" s="158">
        <f t="shared" si="76"/>
        <v>0</v>
      </c>
      <c r="F74" s="158">
        <f t="shared" si="76"/>
        <v>0</v>
      </c>
      <c r="G74" s="158">
        <f t="shared" si="76"/>
        <v>0</v>
      </c>
      <c r="H74" s="158">
        <f t="shared" si="76"/>
        <v>0</v>
      </c>
      <c r="I74" s="158">
        <f t="shared" si="76"/>
        <v>0</v>
      </c>
      <c r="J74" s="158">
        <f t="shared" si="76"/>
        <v>58200</v>
      </c>
      <c r="K74" s="158">
        <f t="shared" si="76"/>
        <v>59364</v>
      </c>
      <c r="L74" s="158">
        <f t="shared" si="76"/>
        <v>60551.280000000006</v>
      </c>
      <c r="M74" s="158">
        <f t="shared" si="76"/>
        <v>61762.305600000014</v>
      </c>
      <c r="N74" s="158">
        <f t="shared" si="76"/>
        <v>62997.551712</v>
      </c>
      <c r="O74" s="158">
        <f t="shared" si="76"/>
        <v>64257.502746240018</v>
      </c>
      <c r="P74" s="158">
        <f t="shared" si="76"/>
        <v>65542.652801164819</v>
      </c>
      <c r="Q74" s="158">
        <f t="shared" si="76"/>
        <v>66853.505857188109</v>
      </c>
      <c r="R74" s="158">
        <f t="shared" si="76"/>
        <v>68190.575974331878</v>
      </c>
      <c r="S74" s="158">
        <f t="shared" si="76"/>
        <v>69554.387493818518</v>
      </c>
      <c r="T74" s="158">
        <f t="shared" si="76"/>
        <v>70945.475243694891</v>
      </c>
      <c r="U74" s="158">
        <f t="shared" si="76"/>
        <v>72364.384748568787</v>
      </c>
      <c r="V74" s="158">
        <f t="shared" si="76"/>
        <v>73811.67244354017</v>
      </c>
      <c r="W74" s="158">
        <f t="shared" si="76"/>
        <v>75287.90589241097</v>
      </c>
      <c r="X74" s="158">
        <f t="shared" si="76"/>
        <v>76793.664010259192</v>
      </c>
      <c r="Y74" s="158">
        <f t="shared" si="76"/>
        <v>78329.537290464374</v>
      </c>
      <c r="Z74" s="158">
        <f t="shared" si="76"/>
        <v>79896.128036273672</v>
      </c>
      <c r="AA74" s="158">
        <f t="shared" si="76"/>
        <v>81494.050596999135</v>
      </c>
      <c r="AB74" s="158">
        <f t="shared" si="76"/>
        <v>83123.931608939107</v>
      </c>
      <c r="AC74" s="158">
        <f t="shared" si="76"/>
        <v>84786.410241117919</v>
      </c>
      <c r="AD74" s="158">
        <f t="shared" si="76"/>
        <v>86482.138445940276</v>
      </c>
      <c r="AE74" s="158">
        <f t="shared" si="76"/>
        <v>88211.781214859089</v>
      </c>
      <c r="AF74" s="158">
        <f t="shared" si="76"/>
        <v>89976.016839156247</v>
      </c>
      <c r="AG74" s="158">
        <f t="shared" si="76"/>
        <v>91775.537175939389</v>
      </c>
      <c r="AH74" s="158">
        <f t="shared" si="76"/>
        <v>93611.047919458186</v>
      </c>
      <c r="AI74" s="158">
        <f t="shared" si="76"/>
        <v>95483.268877847353</v>
      </c>
      <c r="AJ74" s="158">
        <f t="shared" si="76"/>
        <v>97392.934255404296</v>
      </c>
      <c r="AK74" s="158">
        <f t="shared" si="76"/>
        <v>99340.792940512387</v>
      </c>
      <c r="AL74" s="158">
        <f t="shared" si="76"/>
        <v>101327.60879932262</v>
      </c>
      <c r="AM74" s="158">
        <f t="shared" si="76"/>
        <v>103354.16097530909</v>
      </c>
      <c r="AN74" s="158">
        <f t="shared" si="76"/>
        <v>105421.24419481528</v>
      </c>
      <c r="AO74" s="158">
        <f t="shared" si="76"/>
        <v>107529.66907871159</v>
      </c>
      <c r="AP74" s="158">
        <f t="shared" si="76"/>
        <v>109680.2624602858</v>
      </c>
      <c r="AQ74" s="158">
        <f t="shared" si="76"/>
        <v>111873.86770949155</v>
      </c>
      <c r="AR74" s="158">
        <f t="shared" si="76"/>
        <v>114111.34506368136</v>
      </c>
      <c r="AS74" s="158">
        <f t="shared" si="76"/>
        <v>116393.57196495502</v>
      </c>
      <c r="AT74" s="158">
        <f t="shared" si="76"/>
        <v>118721.44340425411</v>
      </c>
      <c r="AU74" s="158">
        <f t="shared" si="76"/>
        <v>121095.87227233918</v>
      </c>
      <c r="AV74" s="158">
        <f t="shared" si="76"/>
        <v>123517.78971778597</v>
      </c>
      <c r="AW74" s="158">
        <f t="shared" si="76"/>
        <v>125988.14551214171</v>
      </c>
      <c r="AX74" s="158">
        <f t="shared" si="76"/>
        <v>128507.90842238456</v>
      </c>
      <c r="AY74" s="158">
        <f t="shared" si="76"/>
        <v>131078.06659083228</v>
      </c>
      <c r="AZ74" s="158">
        <f t="shared" si="76"/>
        <v>133699.62792264888</v>
      </c>
      <c r="BA74" s="158">
        <f t="shared" si="76"/>
        <v>136373.62048110188</v>
      </c>
      <c r="BB74" s="158">
        <f t="shared" si="76"/>
        <v>139101.0928907239</v>
      </c>
      <c r="BC74" s="158">
        <f t="shared" si="76"/>
        <v>141883.11474853838</v>
      </c>
      <c r="BD74" s="158">
        <f t="shared" si="76"/>
        <v>144720.77704350915</v>
      </c>
    </row>
    <row r="75" spans="1:56" x14ac:dyDescent="0.25">
      <c r="A75" s="113" t="s">
        <v>248</v>
      </c>
      <c r="B75" s="191">
        <f>SUM(B70:B74)</f>
        <v>27995</v>
      </c>
      <c r="C75" s="191">
        <f t="shared" ref="C75:BD75" si="77">SUM(C70:C74)</f>
        <v>28070</v>
      </c>
      <c r="D75" s="191">
        <f t="shared" si="77"/>
        <v>28146.125</v>
      </c>
      <c r="E75" s="191">
        <f t="shared" si="77"/>
        <v>28223.391874999998</v>
      </c>
      <c r="F75" s="191">
        <f t="shared" si="77"/>
        <v>28301.817753124997</v>
      </c>
      <c r="G75" s="191">
        <f t="shared" si="77"/>
        <v>28381.420019421872</v>
      </c>
      <c r="H75" s="191">
        <f t="shared" si="77"/>
        <v>16338.216319713199</v>
      </c>
      <c r="I75" s="191">
        <f t="shared" si="77"/>
        <v>16420.224564508895</v>
      </c>
      <c r="J75" s="191">
        <f t="shared" si="77"/>
        <v>78832.46293297653</v>
      </c>
      <c r="K75" s="191">
        <f t="shared" si="77"/>
        <v>80080.949876971179</v>
      </c>
      <c r="L75" s="191">
        <f t="shared" si="77"/>
        <v>81353.984125125746</v>
      </c>
      <c r="M75" s="191">
        <f t="shared" si="77"/>
        <v>82652.050287002639</v>
      </c>
      <c r="N75" s="191">
        <f t="shared" si="77"/>
        <v>83975.642569307674</v>
      </c>
      <c r="O75" s="191">
        <f t="shared" si="77"/>
        <v>85325.264966407296</v>
      </c>
      <c r="P75" s="191">
        <f t="shared" si="77"/>
        <v>86701.431454634614</v>
      </c>
      <c r="Q75" s="191">
        <f t="shared" si="77"/>
        <v>88104.666190459946</v>
      </c>
      <c r="R75" s="191">
        <f t="shared" si="77"/>
        <v>89535.503712602789</v>
      </c>
      <c r="S75" s="191">
        <f t="shared" si="77"/>
        <v>90994.489148163499</v>
      </c>
      <c r="T75" s="191">
        <f t="shared" si="77"/>
        <v>92482.178422855039</v>
      </c>
      <c r="U75" s="191">
        <f t="shared" si="77"/>
        <v>93999.138475416345</v>
      </c>
      <c r="V75" s="191">
        <f t="shared" si="77"/>
        <v>95545.947476290428</v>
      </c>
      <c r="W75" s="191">
        <f t="shared" si="77"/>
        <v>97123.195050652488</v>
      </c>
      <c r="X75" s="191">
        <f t="shared" si="77"/>
        <v>98731.48250587433</v>
      </c>
      <c r="Y75" s="191">
        <f t="shared" si="77"/>
        <v>100371.42306351374</v>
      </c>
      <c r="Z75" s="191">
        <f t="shared" si="77"/>
        <v>102043.64209591878</v>
      </c>
      <c r="AA75" s="191">
        <f t="shared" si="77"/>
        <v>103748.77736753892</v>
      </c>
      <c r="AB75" s="191">
        <f t="shared" si="77"/>
        <v>105487.47928103698</v>
      </c>
      <c r="AC75" s="191">
        <f t="shared" si="77"/>
        <v>107260.41112829727</v>
      </c>
      <c r="AD75" s="191">
        <f t="shared" si="77"/>
        <v>109068.24934642731</v>
      </c>
      <c r="AE75" s="191">
        <f t="shared" si="77"/>
        <v>110911.68377885343</v>
      </c>
      <c r="AF75" s="191">
        <f t="shared" si="77"/>
        <v>112791.4179416105</v>
      </c>
      <c r="AG75" s="191">
        <f t="shared" si="77"/>
        <v>114708.16929493046</v>
      </c>
      <c r="AH75" s="191">
        <f t="shared" si="77"/>
        <v>116662.66952023412</v>
      </c>
      <c r="AI75" s="191">
        <f t="shared" si="77"/>
        <v>118655.66480263493</v>
      </c>
      <c r="AJ75" s="191">
        <f t="shared" si="77"/>
        <v>120687.91611906368</v>
      </c>
      <c r="AK75" s="191">
        <f t="shared" si="77"/>
        <v>122760.19953212666</v>
      </c>
      <c r="AL75" s="191">
        <f t="shared" si="77"/>
        <v>124873.30648981112</v>
      </c>
      <c r="AM75" s="191">
        <f t="shared" si="77"/>
        <v>127028.04413115491</v>
      </c>
      <c r="AN75" s="191">
        <f t="shared" si="77"/>
        <v>129225.23559799879</v>
      </c>
      <c r="AO75" s="191">
        <f t="shared" si="77"/>
        <v>131465.72035294285</v>
      </c>
      <c r="AP75" s="191">
        <f t="shared" si="77"/>
        <v>133750.35450363051</v>
      </c>
      <c r="AQ75" s="191">
        <f t="shared" si="77"/>
        <v>136080.01113348643</v>
      </c>
      <c r="AR75" s="191">
        <f t="shared" si="77"/>
        <v>138455.58063903617</v>
      </c>
      <c r="AS75" s="191">
        <f t="shared" si="77"/>
        <v>140877.97107394016</v>
      </c>
      <c r="AT75" s="191">
        <f t="shared" si="77"/>
        <v>143348.10849987401</v>
      </c>
      <c r="AU75" s="191">
        <f t="shared" si="77"/>
        <v>145866.9373443934</v>
      </c>
      <c r="AV75" s="191">
        <f t="shared" si="77"/>
        <v>148435.42076592101</v>
      </c>
      <c r="AW75" s="191">
        <f t="shared" si="77"/>
        <v>151054.54102599877</v>
      </c>
      <c r="AX75" s="191">
        <f t="shared" si="77"/>
        <v>153725.29986894946</v>
      </c>
      <c r="AY75" s="191">
        <f t="shared" si="77"/>
        <v>156448.71890909565</v>
      </c>
      <c r="AZ75" s="191">
        <f t="shared" si="77"/>
        <v>159225.84002568619</v>
      </c>
      <c r="BA75" s="191">
        <f t="shared" si="77"/>
        <v>162057.72576568477</v>
      </c>
      <c r="BB75" s="191">
        <f t="shared" si="77"/>
        <v>164945.45975457551</v>
      </c>
      <c r="BC75" s="191">
        <f t="shared" si="77"/>
        <v>167890.14711534779</v>
      </c>
      <c r="BD75" s="191">
        <f t="shared" si="77"/>
        <v>170892.91489582069</v>
      </c>
    </row>
    <row r="76" spans="1:56" x14ac:dyDescent="0.25">
      <c r="A76" s="129" t="s">
        <v>626</v>
      </c>
      <c r="B76" s="229">
        <f>B75-B70-B71</f>
        <v>5000</v>
      </c>
      <c r="C76" s="229">
        <f t="shared" ref="C76:BD76" si="78">C75-C70-C71</f>
        <v>5075</v>
      </c>
      <c r="D76" s="229">
        <f t="shared" si="78"/>
        <v>5151.125</v>
      </c>
      <c r="E76" s="229">
        <f t="shared" si="78"/>
        <v>5228.3918749999975</v>
      </c>
      <c r="F76" s="229">
        <f t="shared" si="78"/>
        <v>5306.8177531249967</v>
      </c>
      <c r="G76" s="229">
        <f t="shared" si="78"/>
        <v>5386.420019421872</v>
      </c>
      <c r="H76" s="229">
        <f t="shared" si="78"/>
        <v>5467.2163197131995</v>
      </c>
      <c r="I76" s="229">
        <f t="shared" si="78"/>
        <v>5549.2245645088951</v>
      </c>
      <c r="J76" s="229">
        <f t="shared" si="78"/>
        <v>78832.46293297653</v>
      </c>
      <c r="K76" s="229">
        <f t="shared" si="78"/>
        <v>80080.949876971179</v>
      </c>
      <c r="L76" s="229">
        <f t="shared" si="78"/>
        <v>81353.984125125746</v>
      </c>
      <c r="M76" s="229">
        <f t="shared" si="78"/>
        <v>82652.050287002639</v>
      </c>
      <c r="N76" s="229">
        <f t="shared" si="78"/>
        <v>83975.642569307674</v>
      </c>
      <c r="O76" s="229">
        <f t="shared" si="78"/>
        <v>85325.264966407296</v>
      </c>
      <c r="P76" s="229">
        <f t="shared" si="78"/>
        <v>86701.431454634614</v>
      </c>
      <c r="Q76" s="229">
        <f t="shared" si="78"/>
        <v>88104.666190459946</v>
      </c>
      <c r="R76" s="229">
        <f t="shared" si="78"/>
        <v>89535.503712602789</v>
      </c>
      <c r="S76" s="229">
        <f t="shared" si="78"/>
        <v>90994.489148163499</v>
      </c>
      <c r="T76" s="229">
        <f t="shared" si="78"/>
        <v>92482.178422855039</v>
      </c>
      <c r="U76" s="229">
        <f t="shared" si="78"/>
        <v>93999.138475416345</v>
      </c>
      <c r="V76" s="229">
        <f t="shared" si="78"/>
        <v>95545.947476290428</v>
      </c>
      <c r="W76" s="229">
        <f t="shared" si="78"/>
        <v>97123.195050652488</v>
      </c>
      <c r="X76" s="229">
        <f t="shared" si="78"/>
        <v>98731.48250587433</v>
      </c>
      <c r="Y76" s="229">
        <f t="shared" si="78"/>
        <v>100371.42306351374</v>
      </c>
      <c r="Z76" s="229">
        <f t="shared" si="78"/>
        <v>102043.64209591878</v>
      </c>
      <c r="AA76" s="229">
        <f t="shared" si="78"/>
        <v>103748.77736753892</v>
      </c>
      <c r="AB76" s="229">
        <f t="shared" si="78"/>
        <v>105487.47928103698</v>
      </c>
      <c r="AC76" s="229">
        <f t="shared" si="78"/>
        <v>107260.41112829727</v>
      </c>
      <c r="AD76" s="229">
        <f t="shared" si="78"/>
        <v>109068.24934642731</v>
      </c>
      <c r="AE76" s="229">
        <f t="shared" si="78"/>
        <v>110911.68377885343</v>
      </c>
      <c r="AF76" s="229">
        <f t="shared" si="78"/>
        <v>112791.4179416105</v>
      </c>
      <c r="AG76" s="229">
        <f t="shared" si="78"/>
        <v>114708.16929493046</v>
      </c>
      <c r="AH76" s="229">
        <f t="shared" si="78"/>
        <v>116662.66952023412</v>
      </c>
      <c r="AI76" s="229">
        <f t="shared" si="78"/>
        <v>118655.66480263493</v>
      </c>
      <c r="AJ76" s="229">
        <f t="shared" si="78"/>
        <v>120687.91611906368</v>
      </c>
      <c r="AK76" s="229">
        <f t="shared" si="78"/>
        <v>122760.19953212666</v>
      </c>
      <c r="AL76" s="229">
        <f t="shared" si="78"/>
        <v>124873.30648981112</v>
      </c>
      <c r="AM76" s="229">
        <f t="shared" si="78"/>
        <v>127028.04413115491</v>
      </c>
      <c r="AN76" s="229">
        <f t="shared" si="78"/>
        <v>129225.23559799879</v>
      </c>
      <c r="AO76" s="229">
        <f t="shared" si="78"/>
        <v>131465.72035294285</v>
      </c>
      <c r="AP76" s="229">
        <f t="shared" si="78"/>
        <v>133750.35450363051</v>
      </c>
      <c r="AQ76" s="229">
        <f t="shared" si="78"/>
        <v>136080.01113348643</v>
      </c>
      <c r="AR76" s="229">
        <f t="shared" si="78"/>
        <v>138455.58063903617</v>
      </c>
      <c r="AS76" s="229">
        <f t="shared" si="78"/>
        <v>140877.97107394016</v>
      </c>
      <c r="AT76" s="229">
        <f t="shared" si="78"/>
        <v>143348.10849987401</v>
      </c>
      <c r="AU76" s="229">
        <f t="shared" si="78"/>
        <v>145866.9373443934</v>
      </c>
      <c r="AV76" s="229">
        <f t="shared" si="78"/>
        <v>148435.42076592101</v>
      </c>
      <c r="AW76" s="229">
        <f t="shared" si="78"/>
        <v>151054.54102599877</v>
      </c>
      <c r="AX76" s="229">
        <f t="shared" si="78"/>
        <v>153725.29986894946</v>
      </c>
      <c r="AY76" s="229">
        <f t="shared" si="78"/>
        <v>156448.71890909565</v>
      </c>
      <c r="AZ76" s="229">
        <f t="shared" si="78"/>
        <v>159225.84002568619</v>
      </c>
      <c r="BA76" s="229">
        <f t="shared" si="78"/>
        <v>162057.72576568477</v>
      </c>
      <c r="BB76" s="229">
        <f t="shared" si="78"/>
        <v>164945.45975457551</v>
      </c>
      <c r="BC76" s="229">
        <f t="shared" si="78"/>
        <v>167890.14711534779</v>
      </c>
      <c r="BD76" s="229">
        <f t="shared" si="78"/>
        <v>170892.91489582069</v>
      </c>
    </row>
    <row r="78" spans="1:56" x14ac:dyDescent="0.25">
      <c r="A78" s="3" t="s">
        <v>56</v>
      </c>
      <c r="B78" s="131">
        <f>B69</f>
        <v>44317</v>
      </c>
      <c r="C78" s="131">
        <f t="shared" ref="C78:BD78" si="79">C69</f>
        <v>44348</v>
      </c>
      <c r="D78" s="131">
        <f t="shared" si="79"/>
        <v>44379</v>
      </c>
      <c r="E78" s="131">
        <f t="shared" si="79"/>
        <v>44410</v>
      </c>
      <c r="F78" s="131">
        <f t="shared" si="79"/>
        <v>44441</v>
      </c>
      <c r="G78" s="131">
        <f t="shared" si="79"/>
        <v>44472</v>
      </c>
      <c r="H78" s="131">
        <f t="shared" si="79"/>
        <v>44503</v>
      </c>
      <c r="I78" s="131">
        <f t="shared" si="79"/>
        <v>44534</v>
      </c>
      <c r="J78" s="131">
        <f t="shared" si="79"/>
        <v>44565</v>
      </c>
      <c r="K78" s="131">
        <f t="shared" si="79"/>
        <v>44596</v>
      </c>
      <c r="L78" s="131">
        <f t="shared" si="79"/>
        <v>44627</v>
      </c>
      <c r="M78" s="131">
        <f t="shared" si="79"/>
        <v>44658</v>
      </c>
      <c r="N78" s="131">
        <f t="shared" si="79"/>
        <v>44689</v>
      </c>
      <c r="O78" s="131">
        <f t="shared" si="79"/>
        <v>44720</v>
      </c>
      <c r="P78" s="131">
        <f t="shared" si="79"/>
        <v>44751</v>
      </c>
      <c r="Q78" s="131">
        <f t="shared" si="79"/>
        <v>44782</v>
      </c>
      <c r="R78" s="131">
        <f t="shared" si="79"/>
        <v>44813</v>
      </c>
      <c r="S78" s="131">
        <f t="shared" si="79"/>
        <v>44844</v>
      </c>
      <c r="T78" s="131">
        <f t="shared" si="79"/>
        <v>44875</v>
      </c>
      <c r="U78" s="131">
        <f t="shared" si="79"/>
        <v>44906</v>
      </c>
      <c r="V78" s="131">
        <f t="shared" si="79"/>
        <v>44937</v>
      </c>
      <c r="W78" s="131">
        <f t="shared" si="79"/>
        <v>44968</v>
      </c>
      <c r="X78" s="131">
        <f t="shared" si="79"/>
        <v>44999</v>
      </c>
      <c r="Y78" s="131">
        <f t="shared" si="79"/>
        <v>45030</v>
      </c>
      <c r="Z78" s="131">
        <f t="shared" si="79"/>
        <v>45061</v>
      </c>
      <c r="AA78" s="131">
        <f t="shared" si="79"/>
        <v>45092</v>
      </c>
      <c r="AB78" s="131">
        <f t="shared" si="79"/>
        <v>45123</v>
      </c>
      <c r="AC78" s="131">
        <f t="shared" si="79"/>
        <v>45154</v>
      </c>
      <c r="AD78" s="131">
        <f t="shared" si="79"/>
        <v>45185</v>
      </c>
      <c r="AE78" s="131">
        <f t="shared" si="79"/>
        <v>45216</v>
      </c>
      <c r="AF78" s="131">
        <f t="shared" si="79"/>
        <v>45247</v>
      </c>
      <c r="AG78" s="131">
        <f t="shared" si="79"/>
        <v>45278</v>
      </c>
      <c r="AH78" s="131">
        <f t="shared" si="79"/>
        <v>45309</v>
      </c>
      <c r="AI78" s="131">
        <f t="shared" si="79"/>
        <v>45340</v>
      </c>
      <c r="AJ78" s="131">
        <f t="shared" si="79"/>
        <v>45371</v>
      </c>
      <c r="AK78" s="131">
        <f t="shared" si="79"/>
        <v>45402</v>
      </c>
      <c r="AL78" s="131">
        <f t="shared" si="79"/>
        <v>45433</v>
      </c>
      <c r="AM78" s="131">
        <f t="shared" si="79"/>
        <v>45464</v>
      </c>
      <c r="AN78" s="131">
        <f t="shared" si="79"/>
        <v>45495</v>
      </c>
      <c r="AO78" s="131">
        <f t="shared" si="79"/>
        <v>45526</v>
      </c>
      <c r="AP78" s="131">
        <f t="shared" si="79"/>
        <v>45557</v>
      </c>
      <c r="AQ78" s="131">
        <f t="shared" si="79"/>
        <v>45588</v>
      </c>
      <c r="AR78" s="131">
        <f t="shared" si="79"/>
        <v>45619</v>
      </c>
      <c r="AS78" s="131">
        <f t="shared" si="79"/>
        <v>45650</v>
      </c>
      <c r="AT78" s="131">
        <f t="shared" si="79"/>
        <v>45681</v>
      </c>
      <c r="AU78" s="131">
        <f t="shared" si="79"/>
        <v>45712</v>
      </c>
      <c r="AV78" s="131">
        <f t="shared" si="79"/>
        <v>45743</v>
      </c>
      <c r="AW78" s="131">
        <f t="shared" si="79"/>
        <v>45774</v>
      </c>
      <c r="AX78" s="131">
        <f t="shared" si="79"/>
        <v>45805</v>
      </c>
      <c r="AY78" s="131">
        <f t="shared" si="79"/>
        <v>45836</v>
      </c>
      <c r="AZ78" s="131">
        <f t="shared" si="79"/>
        <v>45867</v>
      </c>
      <c r="BA78" s="131">
        <f t="shared" si="79"/>
        <v>45898</v>
      </c>
      <c r="BB78" s="131">
        <f t="shared" si="79"/>
        <v>45929</v>
      </c>
      <c r="BC78" s="131">
        <f t="shared" si="79"/>
        <v>45960</v>
      </c>
      <c r="BD78" s="131">
        <f t="shared" si="79"/>
        <v>45991</v>
      </c>
    </row>
    <row r="79" spans="1:56" outlineLevel="1" x14ac:dyDescent="0.25">
      <c r="A79" s="18" t="s">
        <v>249</v>
      </c>
      <c r="B79" s="114">
        <f t="shared" ref="B79:AG79" si="80">B66</f>
        <v>0</v>
      </c>
      <c r="C79" s="114">
        <f t="shared" si="80"/>
        <v>0</v>
      </c>
      <c r="D79" s="114">
        <f t="shared" si="80"/>
        <v>0</v>
      </c>
      <c r="E79" s="114">
        <f t="shared" si="80"/>
        <v>0</v>
      </c>
      <c r="F79" s="114">
        <f t="shared" si="80"/>
        <v>0</v>
      </c>
      <c r="G79" s="114">
        <f t="shared" si="80"/>
        <v>0</v>
      </c>
      <c r="H79" s="114">
        <f t="shared" si="80"/>
        <v>0</v>
      </c>
      <c r="I79" s="114">
        <f t="shared" si="80"/>
        <v>0</v>
      </c>
      <c r="J79" s="114">
        <f t="shared" si="80"/>
        <v>317910</v>
      </c>
      <c r="K79" s="114">
        <f t="shared" si="80"/>
        <v>324268.2</v>
      </c>
      <c r="L79" s="114">
        <f t="shared" si="80"/>
        <v>330753.56400000001</v>
      </c>
      <c r="M79" s="114">
        <f t="shared" si="80"/>
        <v>337368.63528000005</v>
      </c>
      <c r="N79" s="114">
        <f t="shared" si="80"/>
        <v>344116.00798559998</v>
      </c>
      <c r="O79" s="114">
        <f t="shared" si="80"/>
        <v>350998.32814531209</v>
      </c>
      <c r="P79" s="114">
        <f t="shared" si="80"/>
        <v>358018.29470821837</v>
      </c>
      <c r="Q79" s="114">
        <f t="shared" si="80"/>
        <v>365178.66060238262</v>
      </c>
      <c r="R79" s="114">
        <f t="shared" si="80"/>
        <v>372482.23381443036</v>
      </c>
      <c r="S79" s="114">
        <f t="shared" si="80"/>
        <v>379931.87849071895</v>
      </c>
      <c r="T79" s="114">
        <f t="shared" si="80"/>
        <v>387530.51606053341</v>
      </c>
      <c r="U79" s="114">
        <f t="shared" si="80"/>
        <v>395281.12638174399</v>
      </c>
      <c r="V79" s="114">
        <f t="shared" si="80"/>
        <v>403186.74890937889</v>
      </c>
      <c r="W79" s="114">
        <f t="shared" si="80"/>
        <v>411250.48388756649</v>
      </c>
      <c r="X79" s="114">
        <f t="shared" si="80"/>
        <v>419475.49356531783</v>
      </c>
      <c r="Y79" s="114">
        <f t="shared" si="80"/>
        <v>427865.00343662425</v>
      </c>
      <c r="Z79" s="114">
        <f t="shared" si="80"/>
        <v>436422.30350535671</v>
      </c>
      <c r="AA79" s="114">
        <f t="shared" si="80"/>
        <v>445150.74957546382</v>
      </c>
      <c r="AB79" s="114">
        <f t="shared" si="80"/>
        <v>454053.76456697303</v>
      </c>
      <c r="AC79" s="114">
        <f t="shared" si="80"/>
        <v>463134.83985831263</v>
      </c>
      <c r="AD79" s="114">
        <f t="shared" si="80"/>
        <v>472397.53665547888</v>
      </c>
      <c r="AE79" s="114">
        <f t="shared" si="80"/>
        <v>481845.48738858849</v>
      </c>
      <c r="AF79" s="114">
        <f t="shared" si="80"/>
        <v>491482.39713636017</v>
      </c>
      <c r="AG79" s="114">
        <f t="shared" si="80"/>
        <v>501312.04507908743</v>
      </c>
      <c r="AH79" s="114">
        <f t="shared" ref="AH79:BD79" si="81">AH66</f>
        <v>511338.2859806692</v>
      </c>
      <c r="AI79" s="114">
        <f t="shared" si="81"/>
        <v>521565.05170028267</v>
      </c>
      <c r="AJ79" s="114">
        <f t="shared" si="81"/>
        <v>531996.35273428832</v>
      </c>
      <c r="AK79" s="114">
        <f t="shared" si="81"/>
        <v>542636.27978897409</v>
      </c>
      <c r="AL79" s="114">
        <f t="shared" si="81"/>
        <v>553489.00538475357</v>
      </c>
      <c r="AM79" s="114">
        <f t="shared" si="81"/>
        <v>564558.78549244872</v>
      </c>
      <c r="AN79" s="114">
        <f t="shared" si="81"/>
        <v>575849.96120229771</v>
      </c>
      <c r="AO79" s="114">
        <f t="shared" si="81"/>
        <v>587366.9604263436</v>
      </c>
      <c r="AP79" s="114">
        <f t="shared" si="81"/>
        <v>599114.29963487037</v>
      </c>
      <c r="AQ79" s="114">
        <f t="shared" si="81"/>
        <v>611096.58562756795</v>
      </c>
      <c r="AR79" s="114">
        <f t="shared" si="81"/>
        <v>623318.51734011923</v>
      </c>
      <c r="AS79" s="114">
        <f t="shared" si="81"/>
        <v>635784.88768692175</v>
      </c>
      <c r="AT79" s="114">
        <f t="shared" si="81"/>
        <v>648500.58544066024</v>
      </c>
      <c r="AU79" s="114">
        <f t="shared" si="81"/>
        <v>661470.59714947338</v>
      </c>
      <c r="AV79" s="114">
        <f t="shared" si="81"/>
        <v>674700.00909246283</v>
      </c>
      <c r="AW79" s="114">
        <f t="shared" si="81"/>
        <v>688194.00927431218</v>
      </c>
      <c r="AX79" s="114">
        <f t="shared" si="81"/>
        <v>701957.88945979846</v>
      </c>
      <c r="AY79" s="114">
        <f t="shared" si="81"/>
        <v>715997.04724899458</v>
      </c>
      <c r="AZ79" s="114">
        <f t="shared" si="81"/>
        <v>730316.98819397436</v>
      </c>
      <c r="BA79" s="114">
        <f t="shared" si="81"/>
        <v>744923.32795785402</v>
      </c>
      <c r="BB79" s="114">
        <f t="shared" si="81"/>
        <v>759821.7945170108</v>
      </c>
      <c r="BC79" s="114">
        <f t="shared" si="81"/>
        <v>775018.23040735116</v>
      </c>
      <c r="BD79" s="114">
        <f t="shared" si="81"/>
        <v>790518.59501549823</v>
      </c>
    </row>
    <row r="80" spans="1:56" ht="17" outlineLevel="1" thickBot="1" x14ac:dyDescent="0.3">
      <c r="A80" s="18" t="s">
        <v>112</v>
      </c>
      <c r="B80" s="114">
        <f t="shared" ref="B80:M80" si="82">B75</f>
        <v>27995</v>
      </c>
      <c r="C80" s="114">
        <f t="shared" si="82"/>
        <v>28070</v>
      </c>
      <c r="D80" s="114">
        <f t="shared" si="82"/>
        <v>28146.125</v>
      </c>
      <c r="E80" s="114">
        <f t="shared" si="82"/>
        <v>28223.391874999998</v>
      </c>
      <c r="F80" s="114">
        <f t="shared" si="82"/>
        <v>28301.817753124997</v>
      </c>
      <c r="G80" s="114">
        <f t="shared" si="82"/>
        <v>28381.420019421872</v>
      </c>
      <c r="H80" s="114">
        <f t="shared" si="82"/>
        <v>16338.216319713199</v>
      </c>
      <c r="I80" s="114">
        <f t="shared" si="82"/>
        <v>16420.224564508895</v>
      </c>
      <c r="J80" s="114">
        <f t="shared" si="82"/>
        <v>78832.46293297653</v>
      </c>
      <c r="K80" s="114">
        <f t="shared" si="82"/>
        <v>80080.949876971179</v>
      </c>
      <c r="L80" s="114">
        <f t="shared" si="82"/>
        <v>81353.984125125746</v>
      </c>
      <c r="M80" s="114">
        <f t="shared" si="82"/>
        <v>82652.050287002639</v>
      </c>
      <c r="N80" s="114">
        <f t="shared" ref="N80:BD80" si="83">N75</f>
        <v>83975.642569307674</v>
      </c>
      <c r="O80" s="114">
        <f t="shared" si="83"/>
        <v>85325.264966407296</v>
      </c>
      <c r="P80" s="114">
        <f t="shared" si="83"/>
        <v>86701.431454634614</v>
      </c>
      <c r="Q80" s="114">
        <f t="shared" si="83"/>
        <v>88104.666190459946</v>
      </c>
      <c r="R80" s="114">
        <f t="shared" si="83"/>
        <v>89535.503712602789</v>
      </c>
      <c r="S80" s="114">
        <f t="shared" si="83"/>
        <v>90994.489148163499</v>
      </c>
      <c r="T80" s="114">
        <f t="shared" si="83"/>
        <v>92482.178422855039</v>
      </c>
      <c r="U80" s="114">
        <f t="shared" si="83"/>
        <v>93999.138475416345</v>
      </c>
      <c r="V80" s="114">
        <f t="shared" si="83"/>
        <v>95545.947476290428</v>
      </c>
      <c r="W80" s="114">
        <f t="shared" si="83"/>
        <v>97123.195050652488</v>
      </c>
      <c r="X80" s="114">
        <f t="shared" si="83"/>
        <v>98731.48250587433</v>
      </c>
      <c r="Y80" s="114">
        <f t="shared" si="83"/>
        <v>100371.42306351374</v>
      </c>
      <c r="Z80" s="114">
        <f t="shared" si="83"/>
        <v>102043.64209591878</v>
      </c>
      <c r="AA80" s="114">
        <f t="shared" si="83"/>
        <v>103748.77736753892</v>
      </c>
      <c r="AB80" s="114">
        <f t="shared" si="83"/>
        <v>105487.47928103698</v>
      </c>
      <c r="AC80" s="114">
        <f t="shared" si="83"/>
        <v>107260.41112829727</v>
      </c>
      <c r="AD80" s="114">
        <f t="shared" si="83"/>
        <v>109068.24934642731</v>
      </c>
      <c r="AE80" s="114">
        <f t="shared" si="83"/>
        <v>110911.68377885343</v>
      </c>
      <c r="AF80" s="114">
        <f t="shared" si="83"/>
        <v>112791.4179416105</v>
      </c>
      <c r="AG80" s="114">
        <f t="shared" si="83"/>
        <v>114708.16929493046</v>
      </c>
      <c r="AH80" s="114">
        <f t="shared" si="83"/>
        <v>116662.66952023412</v>
      </c>
      <c r="AI80" s="114">
        <f t="shared" si="83"/>
        <v>118655.66480263493</v>
      </c>
      <c r="AJ80" s="114">
        <f t="shared" si="83"/>
        <v>120687.91611906368</v>
      </c>
      <c r="AK80" s="114">
        <f t="shared" si="83"/>
        <v>122760.19953212666</v>
      </c>
      <c r="AL80" s="114">
        <f t="shared" si="83"/>
        <v>124873.30648981112</v>
      </c>
      <c r="AM80" s="114">
        <f t="shared" si="83"/>
        <v>127028.04413115491</v>
      </c>
      <c r="AN80" s="114">
        <f t="shared" si="83"/>
        <v>129225.23559799879</v>
      </c>
      <c r="AO80" s="114">
        <f t="shared" si="83"/>
        <v>131465.72035294285</v>
      </c>
      <c r="AP80" s="114">
        <f t="shared" si="83"/>
        <v>133750.35450363051</v>
      </c>
      <c r="AQ80" s="114">
        <f t="shared" si="83"/>
        <v>136080.01113348643</v>
      </c>
      <c r="AR80" s="114">
        <f t="shared" si="83"/>
        <v>138455.58063903617</v>
      </c>
      <c r="AS80" s="114">
        <f t="shared" si="83"/>
        <v>140877.97107394016</v>
      </c>
      <c r="AT80" s="114">
        <f t="shared" si="83"/>
        <v>143348.10849987401</v>
      </c>
      <c r="AU80" s="114">
        <f t="shared" si="83"/>
        <v>145866.9373443934</v>
      </c>
      <c r="AV80" s="114">
        <f t="shared" si="83"/>
        <v>148435.42076592101</v>
      </c>
      <c r="AW80" s="114">
        <f t="shared" si="83"/>
        <v>151054.54102599877</v>
      </c>
      <c r="AX80" s="114">
        <f t="shared" si="83"/>
        <v>153725.29986894946</v>
      </c>
      <c r="AY80" s="114">
        <f t="shared" si="83"/>
        <v>156448.71890909565</v>
      </c>
      <c r="AZ80" s="114">
        <f t="shared" si="83"/>
        <v>159225.84002568619</v>
      </c>
      <c r="BA80" s="114">
        <f t="shared" si="83"/>
        <v>162057.72576568477</v>
      </c>
      <c r="BB80" s="114">
        <f t="shared" si="83"/>
        <v>164945.45975457551</v>
      </c>
      <c r="BC80" s="114">
        <f t="shared" si="83"/>
        <v>167890.14711534779</v>
      </c>
      <c r="BD80" s="114">
        <f t="shared" si="83"/>
        <v>170892.91489582069</v>
      </c>
    </row>
    <row r="81" spans="1:56" x14ac:dyDescent="0.25">
      <c r="A81" s="113" t="s">
        <v>250</v>
      </c>
      <c r="B81" s="120">
        <f>B79-B80</f>
        <v>-27995</v>
      </c>
      <c r="C81" s="120">
        <f t="shared" ref="C81:BD81" si="84">C79-C80</f>
        <v>-28070</v>
      </c>
      <c r="D81" s="120">
        <f t="shared" si="84"/>
        <v>-28146.125</v>
      </c>
      <c r="E81" s="120">
        <f t="shared" si="84"/>
        <v>-28223.391874999998</v>
      </c>
      <c r="F81" s="120">
        <f t="shared" si="84"/>
        <v>-28301.817753124997</v>
      </c>
      <c r="G81" s="120">
        <f t="shared" si="84"/>
        <v>-28381.420019421872</v>
      </c>
      <c r="H81" s="120">
        <f t="shared" si="84"/>
        <v>-16338.216319713199</v>
      </c>
      <c r="I81" s="120">
        <f t="shared" si="84"/>
        <v>-16420.224564508895</v>
      </c>
      <c r="J81" s="120">
        <f t="shared" si="84"/>
        <v>239077.53706702346</v>
      </c>
      <c r="K81" s="120">
        <f t="shared" si="84"/>
        <v>244187.25012302882</v>
      </c>
      <c r="L81" s="120">
        <f t="shared" si="84"/>
        <v>249399.57987487427</v>
      </c>
      <c r="M81" s="120">
        <f t="shared" si="84"/>
        <v>254716.58499299741</v>
      </c>
      <c r="N81" s="120">
        <f t="shared" si="84"/>
        <v>260140.3654162923</v>
      </c>
      <c r="O81" s="120">
        <f t="shared" si="84"/>
        <v>265673.06317890482</v>
      </c>
      <c r="P81" s="120">
        <f t="shared" si="84"/>
        <v>271316.86325358378</v>
      </c>
      <c r="Q81" s="120">
        <f t="shared" si="84"/>
        <v>277073.99441192264</v>
      </c>
      <c r="R81" s="120">
        <f t="shared" si="84"/>
        <v>282946.73010182759</v>
      </c>
      <c r="S81" s="120">
        <f t="shared" si="84"/>
        <v>288937.38934255543</v>
      </c>
      <c r="T81" s="120">
        <f t="shared" si="84"/>
        <v>295048.33763767837</v>
      </c>
      <c r="U81" s="120">
        <f t="shared" si="84"/>
        <v>301281.98790632765</v>
      </c>
      <c r="V81" s="120">
        <f t="shared" si="84"/>
        <v>307640.80143308849</v>
      </c>
      <c r="W81" s="120">
        <f t="shared" si="84"/>
        <v>314127.288836914</v>
      </c>
      <c r="X81" s="120">
        <f t="shared" si="84"/>
        <v>320744.01105944347</v>
      </c>
      <c r="Y81" s="120">
        <f t="shared" si="84"/>
        <v>327493.58037311048</v>
      </c>
      <c r="Z81" s="120">
        <f t="shared" si="84"/>
        <v>334378.66140943795</v>
      </c>
      <c r="AA81" s="120">
        <f t="shared" si="84"/>
        <v>341401.97220792493</v>
      </c>
      <c r="AB81" s="120">
        <f t="shared" si="84"/>
        <v>348566.28528593603</v>
      </c>
      <c r="AC81" s="120">
        <f t="shared" si="84"/>
        <v>355874.42873001535</v>
      </c>
      <c r="AD81" s="120">
        <f t="shared" si="84"/>
        <v>363329.28730905155</v>
      </c>
      <c r="AE81" s="120">
        <f t="shared" si="84"/>
        <v>370933.80360973504</v>
      </c>
      <c r="AF81" s="120">
        <f t="shared" si="84"/>
        <v>378690.97919474967</v>
      </c>
      <c r="AG81" s="120">
        <f t="shared" si="84"/>
        <v>386603.87578415696</v>
      </c>
      <c r="AH81" s="120">
        <f t="shared" si="84"/>
        <v>394675.61646043509</v>
      </c>
      <c r="AI81" s="120">
        <f t="shared" si="84"/>
        <v>402909.38689764775</v>
      </c>
      <c r="AJ81" s="120">
        <f t="shared" si="84"/>
        <v>411308.43661522464</v>
      </c>
      <c r="AK81" s="120">
        <f t="shared" si="84"/>
        <v>419876.08025684743</v>
      </c>
      <c r="AL81" s="120">
        <f t="shared" si="84"/>
        <v>428615.69889494247</v>
      </c>
      <c r="AM81" s="120">
        <f t="shared" si="84"/>
        <v>437530.74136129383</v>
      </c>
      <c r="AN81" s="120">
        <f t="shared" si="84"/>
        <v>446624.72560429893</v>
      </c>
      <c r="AO81" s="120">
        <f t="shared" si="84"/>
        <v>455901.24007340078</v>
      </c>
      <c r="AP81" s="120">
        <f t="shared" si="84"/>
        <v>465363.94513123983</v>
      </c>
      <c r="AQ81" s="120">
        <f t="shared" si="84"/>
        <v>475016.57449408155</v>
      </c>
      <c r="AR81" s="120">
        <f t="shared" si="84"/>
        <v>484862.93670108309</v>
      </c>
      <c r="AS81" s="120">
        <f t="shared" si="84"/>
        <v>494906.91661298159</v>
      </c>
      <c r="AT81" s="120">
        <f t="shared" si="84"/>
        <v>505152.47694078623</v>
      </c>
      <c r="AU81" s="120">
        <f t="shared" si="84"/>
        <v>515603.65980507998</v>
      </c>
      <c r="AV81" s="120">
        <f t="shared" si="84"/>
        <v>526264.58832654182</v>
      </c>
      <c r="AW81" s="120">
        <f t="shared" si="84"/>
        <v>537139.46824831341</v>
      </c>
      <c r="AX81" s="120">
        <f t="shared" si="84"/>
        <v>548232.58959084901</v>
      </c>
      <c r="AY81" s="120">
        <f t="shared" si="84"/>
        <v>559548.32833989896</v>
      </c>
      <c r="AZ81" s="120">
        <f t="shared" si="84"/>
        <v>571091.14816828817</v>
      </c>
      <c r="BA81" s="120">
        <f t="shared" si="84"/>
        <v>582865.60219216929</v>
      </c>
      <c r="BB81" s="120">
        <f t="shared" si="84"/>
        <v>594876.33476243529</v>
      </c>
      <c r="BC81" s="120">
        <f t="shared" si="84"/>
        <v>607128.08329200337</v>
      </c>
      <c r="BD81" s="120">
        <f t="shared" si="84"/>
        <v>619625.68011967756</v>
      </c>
    </row>
    <row r="82" spans="1:56" x14ac:dyDescent="0.25">
      <c r="A82" s="2" t="s">
        <v>251</v>
      </c>
      <c r="B82" s="132" t="e">
        <f>B81/B79</f>
        <v>#DIV/0!</v>
      </c>
      <c r="C82" s="132" t="e">
        <f t="shared" ref="C82:BD82" si="85">C81/C79</f>
        <v>#DIV/0!</v>
      </c>
      <c r="D82" s="132" t="e">
        <f t="shared" si="85"/>
        <v>#DIV/0!</v>
      </c>
      <c r="E82" s="132" t="e">
        <f t="shared" si="85"/>
        <v>#DIV/0!</v>
      </c>
      <c r="F82" s="132" t="e">
        <f t="shared" si="85"/>
        <v>#DIV/0!</v>
      </c>
      <c r="G82" s="132" t="e">
        <f t="shared" si="85"/>
        <v>#DIV/0!</v>
      </c>
      <c r="H82" s="132" t="e">
        <f t="shared" si="85"/>
        <v>#DIV/0!</v>
      </c>
      <c r="I82" s="132" t="e">
        <f t="shared" si="85"/>
        <v>#DIV/0!</v>
      </c>
      <c r="J82" s="132">
        <f t="shared" si="85"/>
        <v>0.7520289926929743</v>
      </c>
      <c r="K82" s="132">
        <f t="shared" si="85"/>
        <v>0.75304100162467003</v>
      </c>
      <c r="L82" s="132">
        <f t="shared" si="85"/>
        <v>0.75403444443269629</v>
      </c>
      <c r="M82" s="132">
        <f t="shared" si="85"/>
        <v>0.75500967889796466</v>
      </c>
      <c r="N82" s="132">
        <f t="shared" si="85"/>
        <v>0.75596705581676471</v>
      </c>
      <c r="O82" s="132">
        <f t="shared" si="85"/>
        <v>0.75690691913756669</v>
      </c>
      <c r="P82" s="132">
        <f t="shared" si="85"/>
        <v>0.75782960609514249</v>
      </c>
      <c r="Q82" s="132">
        <f t="shared" si="85"/>
        <v>0.75873544734205878</v>
      </c>
      <c r="R82" s="132">
        <f t="shared" si="85"/>
        <v>0.75962476707759141</v>
      </c>
      <c r="S82" s="132">
        <f t="shared" si="85"/>
        <v>0.76049788317411127</v>
      </c>
      <c r="T82" s="132">
        <f t="shared" si="85"/>
        <v>0.76135510730099754</v>
      </c>
      <c r="U82" s="132">
        <f t="shared" si="85"/>
        <v>0.7621967450461159</v>
      </c>
      <c r="V82" s="132">
        <f t="shared" si="85"/>
        <v>0.7630230960349208</v>
      </c>
      <c r="W82" s="132">
        <f t="shared" si="85"/>
        <v>0.76383445404721906</v>
      </c>
      <c r="X82" s="132">
        <f t="shared" si="85"/>
        <v>0.76463110713164806</v>
      </c>
      <c r="Y82" s="132">
        <f t="shared" si="85"/>
        <v>0.76541333771790743</v>
      </c>
      <c r="Z82" s="132">
        <f t="shared" si="85"/>
        <v>0.76618142272679179</v>
      </c>
      <c r="AA82" s="132">
        <f t="shared" si="85"/>
        <v>0.76693563367806716</v>
      </c>
      <c r="AB82" s="132">
        <f t="shared" si="85"/>
        <v>0.76767623679623176</v>
      </c>
      <c r="AC82" s="132">
        <f t="shared" si="85"/>
        <v>0.76840349311420497</v>
      </c>
      <c r="AD82" s="132">
        <f t="shared" si="85"/>
        <v>0.76911765857498282</v>
      </c>
      <c r="AE82" s="132">
        <f t="shared" si="85"/>
        <v>0.76981898413130145</v>
      </c>
      <c r="AF82" s="132">
        <f t="shared" si="85"/>
        <v>0.7705077158433471</v>
      </c>
      <c r="AG82" s="132">
        <f t="shared" si="85"/>
        <v>0.7711840949745502</v>
      </c>
      <c r="AH82" s="132">
        <f t="shared" si="85"/>
        <v>0.77184835808550334</v>
      </c>
      <c r="AI82" s="132">
        <f t="shared" si="85"/>
        <v>0.77250073712603662</v>
      </c>
      <c r="AJ82" s="132">
        <f t="shared" si="85"/>
        <v>0.77314145952548918</v>
      </c>
      <c r="AK82" s="132">
        <f t="shared" si="85"/>
        <v>0.77377074828121173</v>
      </c>
      <c r="AL82" s="132">
        <f t="shared" si="85"/>
        <v>0.77438882204533332</v>
      </c>
      <c r="AM82" s="132">
        <f t="shared" si="85"/>
        <v>0.77499589520982848</v>
      </c>
      <c r="AN82" s="132">
        <f t="shared" si="85"/>
        <v>0.77559217798991642</v>
      </c>
      <c r="AO82" s="132">
        <f t="shared" si="85"/>
        <v>0.77617787650582581</v>
      </c>
      <c r="AP82" s="132">
        <f t="shared" si="85"/>
        <v>0.77675319286295696</v>
      </c>
      <c r="AQ82" s="132">
        <f t="shared" si="85"/>
        <v>0.77731832523047317</v>
      </c>
      <c r="AR82" s="132">
        <f t="shared" si="85"/>
        <v>0.77787346791835055</v>
      </c>
      <c r="AS82" s="132">
        <f t="shared" si="85"/>
        <v>0.77841881145291958</v>
      </c>
      <c r="AT82" s="132">
        <f t="shared" si="85"/>
        <v>0.77895454265092445</v>
      </c>
      <c r="AU82" s="132">
        <f t="shared" si="85"/>
        <v>0.7794808446921313</v>
      </c>
      <c r="AV82" s="132">
        <f t="shared" si="85"/>
        <v>0.77999789719051416</v>
      </c>
      <c r="AW82" s="132">
        <f t="shared" si="85"/>
        <v>0.78050587626404511</v>
      </c>
      <c r="AX82" s="132">
        <f t="shared" si="85"/>
        <v>0.78100495460311603</v>
      </c>
      <c r="AY82" s="132">
        <f t="shared" si="85"/>
        <v>0.78149530153762059</v>
      </c>
      <c r="AZ82" s="132">
        <f t="shared" si="85"/>
        <v>0.78197708310272063</v>
      </c>
      <c r="BA82" s="132">
        <f t="shared" si="85"/>
        <v>0.78245046210332458</v>
      </c>
      <c r="BB82" s="132">
        <f t="shared" si="85"/>
        <v>0.78291559817730039</v>
      </c>
      <c r="BC82" s="132">
        <f t="shared" si="85"/>
        <v>0.78337264785745186</v>
      </c>
      <c r="BD82" s="132">
        <f t="shared" si="85"/>
        <v>0.78382176463227882</v>
      </c>
    </row>
    <row r="84" spans="1:56" x14ac:dyDescent="0.25">
      <c r="A84" s="3" t="s">
        <v>400</v>
      </c>
      <c r="B84" s="131">
        <f>B78</f>
        <v>44317</v>
      </c>
      <c r="C84" s="131">
        <f t="shared" ref="C84:M84" si="86">C78</f>
        <v>44348</v>
      </c>
      <c r="D84" s="131">
        <f t="shared" si="86"/>
        <v>44379</v>
      </c>
      <c r="E84" s="131">
        <f t="shared" si="86"/>
        <v>44410</v>
      </c>
      <c r="F84" s="131">
        <f t="shared" si="86"/>
        <v>44441</v>
      </c>
      <c r="G84" s="131">
        <f t="shared" si="86"/>
        <v>44472</v>
      </c>
      <c r="H84" s="131">
        <f t="shared" si="86"/>
        <v>44503</v>
      </c>
      <c r="I84" s="131">
        <f t="shared" si="86"/>
        <v>44534</v>
      </c>
      <c r="J84" s="131">
        <f t="shared" si="86"/>
        <v>44565</v>
      </c>
      <c r="K84" s="131">
        <f t="shared" si="86"/>
        <v>44596</v>
      </c>
      <c r="L84" s="131">
        <f t="shared" si="86"/>
        <v>44627</v>
      </c>
      <c r="M84" s="131">
        <f t="shared" si="86"/>
        <v>44658</v>
      </c>
      <c r="N84" s="131">
        <f>M84+31</f>
        <v>44689</v>
      </c>
      <c r="O84" s="131">
        <f t="shared" ref="O84:BD84" si="87">N84+31</f>
        <v>44720</v>
      </c>
      <c r="P84" s="131">
        <f t="shared" si="87"/>
        <v>44751</v>
      </c>
      <c r="Q84" s="131">
        <f t="shared" si="87"/>
        <v>44782</v>
      </c>
      <c r="R84" s="131">
        <f t="shared" si="87"/>
        <v>44813</v>
      </c>
      <c r="S84" s="131">
        <f t="shared" si="87"/>
        <v>44844</v>
      </c>
      <c r="T84" s="131">
        <f t="shared" si="87"/>
        <v>44875</v>
      </c>
      <c r="U84" s="131">
        <f t="shared" si="87"/>
        <v>44906</v>
      </c>
      <c r="V84" s="131">
        <f t="shared" si="87"/>
        <v>44937</v>
      </c>
      <c r="W84" s="131">
        <f t="shared" si="87"/>
        <v>44968</v>
      </c>
      <c r="X84" s="131">
        <f t="shared" si="87"/>
        <v>44999</v>
      </c>
      <c r="Y84" s="131">
        <f t="shared" si="87"/>
        <v>45030</v>
      </c>
      <c r="Z84" s="131">
        <f t="shared" si="87"/>
        <v>45061</v>
      </c>
      <c r="AA84" s="131">
        <f t="shared" si="87"/>
        <v>45092</v>
      </c>
      <c r="AB84" s="131">
        <f t="shared" si="87"/>
        <v>45123</v>
      </c>
      <c r="AC84" s="131">
        <f t="shared" si="87"/>
        <v>45154</v>
      </c>
      <c r="AD84" s="131">
        <f t="shared" si="87"/>
        <v>45185</v>
      </c>
      <c r="AE84" s="131">
        <f t="shared" si="87"/>
        <v>45216</v>
      </c>
      <c r="AF84" s="131">
        <f t="shared" si="87"/>
        <v>45247</v>
      </c>
      <c r="AG84" s="131">
        <f t="shared" si="87"/>
        <v>45278</v>
      </c>
      <c r="AH84" s="131">
        <f t="shared" si="87"/>
        <v>45309</v>
      </c>
      <c r="AI84" s="131">
        <f t="shared" si="87"/>
        <v>45340</v>
      </c>
      <c r="AJ84" s="131">
        <f t="shared" si="87"/>
        <v>45371</v>
      </c>
      <c r="AK84" s="131">
        <f t="shared" si="87"/>
        <v>45402</v>
      </c>
      <c r="AL84" s="131">
        <f t="shared" si="87"/>
        <v>45433</v>
      </c>
      <c r="AM84" s="131">
        <f t="shared" si="87"/>
        <v>45464</v>
      </c>
      <c r="AN84" s="131">
        <f t="shared" si="87"/>
        <v>45495</v>
      </c>
      <c r="AO84" s="131">
        <f t="shared" si="87"/>
        <v>45526</v>
      </c>
      <c r="AP84" s="131">
        <f t="shared" si="87"/>
        <v>45557</v>
      </c>
      <c r="AQ84" s="131">
        <f t="shared" si="87"/>
        <v>45588</v>
      </c>
      <c r="AR84" s="131">
        <f t="shared" si="87"/>
        <v>45619</v>
      </c>
      <c r="AS84" s="131">
        <f t="shared" si="87"/>
        <v>45650</v>
      </c>
      <c r="AT84" s="131">
        <f t="shared" si="87"/>
        <v>45681</v>
      </c>
      <c r="AU84" s="131">
        <f t="shared" si="87"/>
        <v>45712</v>
      </c>
      <c r="AV84" s="131">
        <f t="shared" si="87"/>
        <v>45743</v>
      </c>
      <c r="AW84" s="131">
        <f t="shared" si="87"/>
        <v>45774</v>
      </c>
      <c r="AX84" s="131">
        <f t="shared" si="87"/>
        <v>45805</v>
      </c>
      <c r="AY84" s="131">
        <f t="shared" si="87"/>
        <v>45836</v>
      </c>
      <c r="AZ84" s="131">
        <f t="shared" si="87"/>
        <v>45867</v>
      </c>
      <c r="BA84" s="131">
        <f t="shared" si="87"/>
        <v>45898</v>
      </c>
      <c r="BB84" s="131">
        <f t="shared" si="87"/>
        <v>45929</v>
      </c>
      <c r="BC84" s="131">
        <f t="shared" si="87"/>
        <v>45960</v>
      </c>
      <c r="BD84" s="131">
        <f t="shared" si="87"/>
        <v>45991</v>
      </c>
    </row>
    <row r="85" spans="1:56" outlineLevel="1" x14ac:dyDescent="0.25">
      <c r="A85" s="18" t="s">
        <v>248</v>
      </c>
      <c r="B85" s="119">
        <f>B80</f>
        <v>27995</v>
      </c>
      <c r="C85" s="119">
        <f t="shared" ref="C85:M85" si="88">C80</f>
        <v>28070</v>
      </c>
      <c r="D85" s="119">
        <f t="shared" si="88"/>
        <v>28146.125</v>
      </c>
      <c r="E85" s="119">
        <f t="shared" si="88"/>
        <v>28223.391874999998</v>
      </c>
      <c r="F85" s="119">
        <f t="shared" si="88"/>
        <v>28301.817753124997</v>
      </c>
      <c r="G85" s="119">
        <f t="shared" si="88"/>
        <v>28381.420019421872</v>
      </c>
      <c r="H85" s="119">
        <f t="shared" si="88"/>
        <v>16338.216319713199</v>
      </c>
      <c r="I85" s="119">
        <f t="shared" si="88"/>
        <v>16420.224564508895</v>
      </c>
      <c r="J85" s="119">
        <f t="shared" si="88"/>
        <v>78832.46293297653</v>
      </c>
      <c r="K85" s="119">
        <f t="shared" si="88"/>
        <v>80080.949876971179</v>
      </c>
      <c r="L85" s="119">
        <f t="shared" si="88"/>
        <v>81353.984125125746</v>
      </c>
      <c r="M85" s="119">
        <f t="shared" si="88"/>
        <v>82652.050287002639</v>
      </c>
      <c r="N85" s="119">
        <f>M85*1.02</f>
        <v>84305.091292742698</v>
      </c>
      <c r="O85" s="119">
        <f t="shared" ref="O85:BD85" si="89">N85*1.02</f>
        <v>85991.193118597555</v>
      </c>
      <c r="P85" s="119">
        <f t="shared" si="89"/>
        <v>87711.016980969507</v>
      </c>
      <c r="Q85" s="119">
        <f t="shared" si="89"/>
        <v>89465.237320588902</v>
      </c>
      <c r="R85" s="119">
        <f t="shared" si="89"/>
        <v>91254.542067000686</v>
      </c>
      <c r="S85" s="119">
        <f t="shared" si="89"/>
        <v>93079.632908340704</v>
      </c>
      <c r="T85" s="119">
        <f t="shared" si="89"/>
        <v>94941.225566507521</v>
      </c>
      <c r="U85" s="119">
        <f t="shared" si="89"/>
        <v>96840.050077837674</v>
      </c>
      <c r="V85" s="119">
        <f t="shared" si="89"/>
        <v>98776.85107939443</v>
      </c>
      <c r="W85" s="119">
        <f t="shared" si="89"/>
        <v>100752.38810098232</v>
      </c>
      <c r="X85" s="119">
        <f t="shared" si="89"/>
        <v>102767.43586300197</v>
      </c>
      <c r="Y85" s="119">
        <f t="shared" si="89"/>
        <v>104822.78458026201</v>
      </c>
      <c r="Z85" s="119">
        <f t="shared" si="89"/>
        <v>106919.24027186725</v>
      </c>
      <c r="AA85" s="119">
        <f t="shared" si="89"/>
        <v>109057.6250773046</v>
      </c>
      <c r="AB85" s="119">
        <f t="shared" si="89"/>
        <v>111238.7775788507</v>
      </c>
      <c r="AC85" s="119">
        <f t="shared" si="89"/>
        <v>113463.55313042771</v>
      </c>
      <c r="AD85" s="119">
        <f t="shared" si="89"/>
        <v>115732.82419303627</v>
      </c>
      <c r="AE85" s="119">
        <f t="shared" si="89"/>
        <v>118047.480676897</v>
      </c>
      <c r="AF85" s="119">
        <f t="shared" si="89"/>
        <v>120408.43029043495</v>
      </c>
      <c r="AG85" s="119">
        <f t="shared" si="89"/>
        <v>122816.59889624365</v>
      </c>
      <c r="AH85" s="119">
        <f t="shared" si="89"/>
        <v>125272.93087416852</v>
      </c>
      <c r="AI85" s="119">
        <f t="shared" si="89"/>
        <v>127778.38949165189</v>
      </c>
      <c r="AJ85" s="119">
        <f t="shared" si="89"/>
        <v>130333.95728148494</v>
      </c>
      <c r="AK85" s="119">
        <f t="shared" si="89"/>
        <v>132940.63642711463</v>
      </c>
      <c r="AL85" s="119">
        <f t="shared" si="89"/>
        <v>135599.44915565691</v>
      </c>
      <c r="AM85" s="119">
        <f t="shared" si="89"/>
        <v>138311.43813877006</v>
      </c>
      <c r="AN85" s="119">
        <f t="shared" si="89"/>
        <v>141077.66690154545</v>
      </c>
      <c r="AO85" s="119">
        <f t="shared" si="89"/>
        <v>143899.22023957636</v>
      </c>
      <c r="AP85" s="119">
        <f t="shared" si="89"/>
        <v>146777.20464436788</v>
      </c>
      <c r="AQ85" s="119">
        <f t="shared" si="89"/>
        <v>149712.74873725526</v>
      </c>
      <c r="AR85" s="119">
        <f t="shared" si="89"/>
        <v>152707.00371200035</v>
      </c>
      <c r="AS85" s="119">
        <f t="shared" si="89"/>
        <v>155761.14378624037</v>
      </c>
      <c r="AT85" s="119">
        <f t="shared" si="89"/>
        <v>158876.36666196518</v>
      </c>
      <c r="AU85" s="119">
        <f t="shared" si="89"/>
        <v>162053.89399520447</v>
      </c>
      <c r="AV85" s="119">
        <f t="shared" si="89"/>
        <v>165294.97187510857</v>
      </c>
      <c r="AW85" s="119">
        <f t="shared" si="89"/>
        <v>168600.87131261075</v>
      </c>
      <c r="AX85" s="119">
        <f t="shared" si="89"/>
        <v>171972.88873886297</v>
      </c>
      <c r="AY85" s="119">
        <f t="shared" si="89"/>
        <v>175412.34651364022</v>
      </c>
      <c r="AZ85" s="119">
        <f t="shared" si="89"/>
        <v>178920.59344391304</v>
      </c>
      <c r="BA85" s="119">
        <f t="shared" si="89"/>
        <v>182499.0053127913</v>
      </c>
      <c r="BB85" s="119">
        <f t="shared" si="89"/>
        <v>186148.98541904712</v>
      </c>
      <c r="BC85" s="119">
        <f t="shared" si="89"/>
        <v>189871.96512742806</v>
      </c>
      <c r="BD85" s="119">
        <f t="shared" si="89"/>
        <v>193669.40442997662</v>
      </c>
    </row>
    <row r="86" spans="1:56" outlineLevel="1" x14ac:dyDescent="0.25">
      <c r="A86" s="18" t="s">
        <v>249</v>
      </c>
      <c r="B86" s="119">
        <f>B66</f>
        <v>0</v>
      </c>
      <c r="C86" s="119">
        <f t="shared" ref="C86:BD86" si="90">C66</f>
        <v>0</v>
      </c>
      <c r="D86" s="119">
        <f t="shared" si="90"/>
        <v>0</v>
      </c>
      <c r="E86" s="119">
        <f t="shared" si="90"/>
        <v>0</v>
      </c>
      <c r="F86" s="119">
        <f t="shared" si="90"/>
        <v>0</v>
      </c>
      <c r="G86" s="119">
        <f t="shared" si="90"/>
        <v>0</v>
      </c>
      <c r="H86" s="119">
        <f t="shared" si="90"/>
        <v>0</v>
      </c>
      <c r="I86" s="119">
        <f t="shared" si="90"/>
        <v>0</v>
      </c>
      <c r="J86" s="119">
        <f t="shared" si="90"/>
        <v>317910</v>
      </c>
      <c r="K86" s="119">
        <f t="shared" si="90"/>
        <v>324268.2</v>
      </c>
      <c r="L86" s="119">
        <f t="shared" si="90"/>
        <v>330753.56400000001</v>
      </c>
      <c r="M86" s="119">
        <f t="shared" si="90"/>
        <v>337368.63528000005</v>
      </c>
      <c r="N86" s="119">
        <f t="shared" si="90"/>
        <v>344116.00798559998</v>
      </c>
      <c r="O86" s="119">
        <f t="shared" si="90"/>
        <v>350998.32814531209</v>
      </c>
      <c r="P86" s="119">
        <f t="shared" si="90"/>
        <v>358018.29470821837</v>
      </c>
      <c r="Q86" s="119">
        <f t="shared" si="90"/>
        <v>365178.66060238262</v>
      </c>
      <c r="R86" s="119">
        <f t="shared" si="90"/>
        <v>372482.23381443036</v>
      </c>
      <c r="S86" s="119">
        <f t="shared" si="90"/>
        <v>379931.87849071895</v>
      </c>
      <c r="T86" s="119">
        <f t="shared" si="90"/>
        <v>387530.51606053341</v>
      </c>
      <c r="U86" s="119">
        <f t="shared" si="90"/>
        <v>395281.12638174399</v>
      </c>
      <c r="V86" s="119">
        <f t="shared" si="90"/>
        <v>403186.74890937889</v>
      </c>
      <c r="W86" s="119">
        <f t="shared" si="90"/>
        <v>411250.48388756649</v>
      </c>
      <c r="X86" s="119">
        <f t="shared" si="90"/>
        <v>419475.49356531783</v>
      </c>
      <c r="Y86" s="119">
        <f t="shared" si="90"/>
        <v>427865.00343662425</v>
      </c>
      <c r="Z86" s="119">
        <f t="shared" si="90"/>
        <v>436422.30350535671</v>
      </c>
      <c r="AA86" s="119">
        <f t="shared" si="90"/>
        <v>445150.74957546382</v>
      </c>
      <c r="AB86" s="119">
        <f t="shared" si="90"/>
        <v>454053.76456697303</v>
      </c>
      <c r="AC86" s="119">
        <f t="shared" si="90"/>
        <v>463134.83985831263</v>
      </c>
      <c r="AD86" s="119">
        <f t="shared" si="90"/>
        <v>472397.53665547888</v>
      </c>
      <c r="AE86" s="119">
        <f t="shared" si="90"/>
        <v>481845.48738858849</v>
      </c>
      <c r="AF86" s="119">
        <f t="shared" si="90"/>
        <v>491482.39713636017</v>
      </c>
      <c r="AG86" s="119">
        <f t="shared" si="90"/>
        <v>501312.04507908743</v>
      </c>
      <c r="AH86" s="119">
        <f t="shared" si="90"/>
        <v>511338.2859806692</v>
      </c>
      <c r="AI86" s="119">
        <f t="shared" si="90"/>
        <v>521565.05170028267</v>
      </c>
      <c r="AJ86" s="119">
        <f t="shared" si="90"/>
        <v>531996.35273428832</v>
      </c>
      <c r="AK86" s="119">
        <f t="shared" si="90"/>
        <v>542636.27978897409</v>
      </c>
      <c r="AL86" s="119">
        <f t="shared" si="90"/>
        <v>553489.00538475357</v>
      </c>
      <c r="AM86" s="119">
        <f t="shared" si="90"/>
        <v>564558.78549244872</v>
      </c>
      <c r="AN86" s="119">
        <f t="shared" si="90"/>
        <v>575849.96120229771</v>
      </c>
      <c r="AO86" s="119">
        <f t="shared" si="90"/>
        <v>587366.9604263436</v>
      </c>
      <c r="AP86" s="119">
        <f t="shared" si="90"/>
        <v>599114.29963487037</v>
      </c>
      <c r="AQ86" s="119">
        <f t="shared" si="90"/>
        <v>611096.58562756795</v>
      </c>
      <c r="AR86" s="119">
        <f t="shared" si="90"/>
        <v>623318.51734011923</v>
      </c>
      <c r="AS86" s="119">
        <f t="shared" si="90"/>
        <v>635784.88768692175</v>
      </c>
      <c r="AT86" s="119">
        <f t="shared" si="90"/>
        <v>648500.58544066024</v>
      </c>
      <c r="AU86" s="119">
        <f t="shared" si="90"/>
        <v>661470.59714947338</v>
      </c>
      <c r="AV86" s="119">
        <f t="shared" si="90"/>
        <v>674700.00909246283</v>
      </c>
      <c r="AW86" s="119">
        <f t="shared" si="90"/>
        <v>688194.00927431218</v>
      </c>
      <c r="AX86" s="119">
        <f t="shared" si="90"/>
        <v>701957.88945979846</v>
      </c>
      <c r="AY86" s="119">
        <f t="shared" si="90"/>
        <v>715997.04724899458</v>
      </c>
      <c r="AZ86" s="119">
        <f t="shared" si="90"/>
        <v>730316.98819397436</v>
      </c>
      <c r="BA86" s="119">
        <f t="shared" si="90"/>
        <v>744923.32795785402</v>
      </c>
      <c r="BB86" s="119">
        <f t="shared" si="90"/>
        <v>759821.7945170108</v>
      </c>
      <c r="BC86" s="119">
        <f t="shared" si="90"/>
        <v>775018.23040735116</v>
      </c>
      <c r="BD86" s="119">
        <f t="shared" si="90"/>
        <v>790518.59501549823</v>
      </c>
    </row>
    <row r="87" spans="1:56" s="2" customFormat="1" outlineLevel="1" x14ac:dyDescent="0.25">
      <c r="A87" s="17" t="s">
        <v>401</v>
      </c>
      <c r="B87" s="121">
        <f>-B85+B86</f>
        <v>-27995</v>
      </c>
      <c r="C87" s="121">
        <f t="shared" ref="C87:BD87" si="91">-C85+C86</f>
        <v>-28070</v>
      </c>
      <c r="D87" s="121">
        <f t="shared" si="91"/>
        <v>-28146.125</v>
      </c>
      <c r="E87" s="121">
        <f t="shared" si="91"/>
        <v>-28223.391874999998</v>
      </c>
      <c r="F87" s="121">
        <f t="shared" si="91"/>
        <v>-28301.817753124997</v>
      </c>
      <c r="G87" s="121">
        <f t="shared" si="91"/>
        <v>-28381.420019421872</v>
      </c>
      <c r="H87" s="121">
        <f t="shared" si="91"/>
        <v>-16338.216319713199</v>
      </c>
      <c r="I87" s="121">
        <f t="shared" si="91"/>
        <v>-16420.224564508895</v>
      </c>
      <c r="J87" s="121">
        <f t="shared" si="91"/>
        <v>239077.53706702346</v>
      </c>
      <c r="K87" s="121">
        <f t="shared" si="91"/>
        <v>244187.25012302882</v>
      </c>
      <c r="L87" s="121">
        <f t="shared" si="91"/>
        <v>249399.57987487427</v>
      </c>
      <c r="M87" s="121">
        <f t="shared" si="91"/>
        <v>254716.58499299741</v>
      </c>
      <c r="N87" s="121">
        <f t="shared" si="91"/>
        <v>259810.91669285728</v>
      </c>
      <c r="O87" s="121">
        <f t="shared" si="91"/>
        <v>265007.13502671453</v>
      </c>
      <c r="P87" s="121">
        <f t="shared" si="91"/>
        <v>270307.27772724885</v>
      </c>
      <c r="Q87" s="121">
        <f t="shared" si="91"/>
        <v>275713.42328179372</v>
      </c>
      <c r="R87" s="121">
        <f t="shared" si="91"/>
        <v>281227.69174742966</v>
      </c>
      <c r="S87" s="121">
        <f t="shared" si="91"/>
        <v>286852.24558237824</v>
      </c>
      <c r="T87" s="121">
        <f t="shared" si="91"/>
        <v>292589.29049402592</v>
      </c>
      <c r="U87" s="121">
        <f t="shared" si="91"/>
        <v>298441.07630390633</v>
      </c>
      <c r="V87" s="121">
        <f t="shared" si="91"/>
        <v>304409.89782998443</v>
      </c>
      <c r="W87" s="121">
        <f t="shared" si="91"/>
        <v>310498.09578658419</v>
      </c>
      <c r="X87" s="121">
        <f t="shared" si="91"/>
        <v>316708.05770231585</v>
      </c>
      <c r="Y87" s="121">
        <f t="shared" si="91"/>
        <v>323042.21885636222</v>
      </c>
      <c r="Z87" s="121">
        <f t="shared" si="91"/>
        <v>329503.06323348946</v>
      </c>
      <c r="AA87" s="121">
        <f t="shared" si="91"/>
        <v>336093.12449815922</v>
      </c>
      <c r="AB87" s="121">
        <f t="shared" si="91"/>
        <v>342814.98698812234</v>
      </c>
      <c r="AC87" s="121">
        <f t="shared" si="91"/>
        <v>349671.2867278849</v>
      </c>
      <c r="AD87" s="121">
        <f t="shared" si="91"/>
        <v>356664.71246244258</v>
      </c>
      <c r="AE87" s="121">
        <f t="shared" si="91"/>
        <v>363798.0067116915</v>
      </c>
      <c r="AF87" s="121">
        <f t="shared" si="91"/>
        <v>371073.9668459252</v>
      </c>
      <c r="AG87" s="121">
        <f t="shared" si="91"/>
        <v>378495.44618284376</v>
      </c>
      <c r="AH87" s="121">
        <f t="shared" si="91"/>
        <v>386065.35510650068</v>
      </c>
      <c r="AI87" s="121">
        <f t="shared" si="91"/>
        <v>393786.66220863076</v>
      </c>
      <c r="AJ87" s="121">
        <f t="shared" si="91"/>
        <v>401662.39545280335</v>
      </c>
      <c r="AK87" s="121">
        <f t="shared" si="91"/>
        <v>409695.64336185949</v>
      </c>
      <c r="AL87" s="121">
        <f t="shared" si="91"/>
        <v>417889.55622909666</v>
      </c>
      <c r="AM87" s="121">
        <f t="shared" si="91"/>
        <v>426247.34735367866</v>
      </c>
      <c r="AN87" s="121">
        <f t="shared" si="91"/>
        <v>434772.29430075223</v>
      </c>
      <c r="AO87" s="121">
        <f t="shared" si="91"/>
        <v>443467.74018676725</v>
      </c>
      <c r="AP87" s="121">
        <f t="shared" si="91"/>
        <v>452337.09499050246</v>
      </c>
      <c r="AQ87" s="121">
        <f t="shared" si="91"/>
        <v>461383.83689031273</v>
      </c>
      <c r="AR87" s="121">
        <f t="shared" si="91"/>
        <v>470611.5136281189</v>
      </c>
      <c r="AS87" s="121">
        <f t="shared" si="91"/>
        <v>480023.74390068138</v>
      </c>
      <c r="AT87" s="121">
        <f t="shared" si="91"/>
        <v>489624.2187786951</v>
      </c>
      <c r="AU87" s="121">
        <f t="shared" si="91"/>
        <v>499416.70315426891</v>
      </c>
      <c r="AV87" s="121">
        <f t="shared" si="91"/>
        <v>509405.03721735429</v>
      </c>
      <c r="AW87" s="121">
        <f t="shared" si="91"/>
        <v>519593.13796170143</v>
      </c>
      <c r="AX87" s="121">
        <f t="shared" si="91"/>
        <v>529985.00072093552</v>
      </c>
      <c r="AY87" s="121">
        <f t="shared" si="91"/>
        <v>540584.70073535433</v>
      </c>
      <c r="AZ87" s="121">
        <f t="shared" si="91"/>
        <v>551396.39475006133</v>
      </c>
      <c r="BA87" s="121">
        <f t="shared" si="91"/>
        <v>562424.3226450627</v>
      </c>
      <c r="BB87" s="121">
        <f t="shared" si="91"/>
        <v>573672.80909796362</v>
      </c>
      <c r="BC87" s="121">
        <f t="shared" si="91"/>
        <v>585146.2652799231</v>
      </c>
      <c r="BD87" s="121">
        <f t="shared" si="91"/>
        <v>596849.19058552163</v>
      </c>
    </row>
    <row r="88" spans="1:56" s="2" customFormat="1" outlineLevel="1" x14ac:dyDescent="0.25">
      <c r="A88" s="17" t="s">
        <v>402</v>
      </c>
      <c r="B88" s="121">
        <f>B87</f>
        <v>-27995</v>
      </c>
      <c r="C88" s="121">
        <f>B88+C87</f>
        <v>-56065</v>
      </c>
      <c r="D88" s="121">
        <f t="shared" ref="D88:BD88" si="92">C88+D87</f>
        <v>-84211.125</v>
      </c>
      <c r="E88" s="121">
        <f t="shared" si="92"/>
        <v>-112434.516875</v>
      </c>
      <c r="F88" s="121">
        <f t="shared" si="92"/>
        <v>-140736.33462812501</v>
      </c>
      <c r="G88" s="121">
        <f t="shared" si="92"/>
        <v>-169117.75464754688</v>
      </c>
      <c r="H88" s="121">
        <f t="shared" si="92"/>
        <v>-185455.97096726007</v>
      </c>
      <c r="I88" s="121">
        <f t="shared" si="92"/>
        <v>-201876.19553176896</v>
      </c>
      <c r="J88" s="121">
        <f t="shared" si="92"/>
        <v>37201.341535254498</v>
      </c>
      <c r="K88" s="121">
        <f t="shared" si="92"/>
        <v>281388.59165828332</v>
      </c>
      <c r="L88" s="121">
        <f t="shared" si="92"/>
        <v>530788.17153315758</v>
      </c>
      <c r="M88" s="121">
        <f t="shared" si="92"/>
        <v>785504.75652615493</v>
      </c>
      <c r="N88" s="121">
        <f t="shared" si="92"/>
        <v>1045315.6732190122</v>
      </c>
      <c r="O88" s="121">
        <f t="shared" si="92"/>
        <v>1310322.8082457269</v>
      </c>
      <c r="P88" s="121">
        <f t="shared" si="92"/>
        <v>1580630.0859729757</v>
      </c>
      <c r="Q88" s="121">
        <f t="shared" si="92"/>
        <v>1856343.5092547694</v>
      </c>
      <c r="R88" s="121">
        <f t="shared" si="92"/>
        <v>2137571.2010021992</v>
      </c>
      <c r="S88" s="121">
        <f t="shared" si="92"/>
        <v>2424423.4465845777</v>
      </c>
      <c r="T88" s="121">
        <f t="shared" si="92"/>
        <v>2717012.7370786034</v>
      </c>
      <c r="U88" s="121">
        <f t="shared" si="92"/>
        <v>3015453.8133825096</v>
      </c>
      <c r="V88" s="121">
        <f t="shared" si="92"/>
        <v>3319863.7112124939</v>
      </c>
      <c r="W88" s="121">
        <f t="shared" si="92"/>
        <v>3630361.806999078</v>
      </c>
      <c r="X88" s="121">
        <f t="shared" si="92"/>
        <v>3947069.864701394</v>
      </c>
      <c r="Y88" s="121">
        <f t="shared" si="92"/>
        <v>4270112.0835577566</v>
      </c>
      <c r="Z88" s="121">
        <f t="shared" si="92"/>
        <v>4599615.1467912458</v>
      </c>
      <c r="AA88" s="121">
        <f t="shared" si="92"/>
        <v>4935708.2712894054</v>
      </c>
      <c r="AB88" s="121">
        <f t="shared" si="92"/>
        <v>5278523.258277528</v>
      </c>
      <c r="AC88" s="121">
        <f t="shared" si="92"/>
        <v>5628194.5450054128</v>
      </c>
      <c r="AD88" s="121">
        <f t="shared" si="92"/>
        <v>5984859.2574678557</v>
      </c>
      <c r="AE88" s="121">
        <f t="shared" si="92"/>
        <v>6348657.2641795473</v>
      </c>
      <c r="AF88" s="121">
        <f t="shared" si="92"/>
        <v>6719731.2310254723</v>
      </c>
      <c r="AG88" s="121">
        <f t="shared" si="92"/>
        <v>7098226.6772083156</v>
      </c>
      <c r="AH88" s="121">
        <f t="shared" si="92"/>
        <v>7484292.0323148165</v>
      </c>
      <c r="AI88" s="121">
        <f t="shared" si="92"/>
        <v>7878078.6945234472</v>
      </c>
      <c r="AJ88" s="121">
        <f t="shared" si="92"/>
        <v>8279741.0899762502</v>
      </c>
      <c r="AK88" s="121">
        <f t="shared" si="92"/>
        <v>8689436.7333381101</v>
      </c>
      <c r="AL88" s="121">
        <f t="shared" si="92"/>
        <v>9107326.2895672061</v>
      </c>
      <c r="AM88" s="121">
        <f t="shared" si="92"/>
        <v>9533573.6369208843</v>
      </c>
      <c r="AN88" s="121">
        <f t="shared" si="92"/>
        <v>9968345.931221636</v>
      </c>
      <c r="AO88" s="121">
        <f t="shared" si="92"/>
        <v>10411813.671408404</v>
      </c>
      <c r="AP88" s="121">
        <f t="shared" si="92"/>
        <v>10864150.766398907</v>
      </c>
      <c r="AQ88" s="121">
        <f t="shared" si="92"/>
        <v>11325534.603289219</v>
      </c>
      <c r="AR88" s="121">
        <f t="shared" si="92"/>
        <v>11796146.116917338</v>
      </c>
      <c r="AS88" s="121">
        <f t="shared" si="92"/>
        <v>12276169.860818019</v>
      </c>
      <c r="AT88" s="121">
        <f t="shared" si="92"/>
        <v>12765794.079596715</v>
      </c>
      <c r="AU88" s="121">
        <f t="shared" si="92"/>
        <v>13265210.782750985</v>
      </c>
      <c r="AV88" s="121">
        <f t="shared" si="92"/>
        <v>13774615.819968339</v>
      </c>
      <c r="AW88" s="121">
        <f t="shared" si="92"/>
        <v>14294208.95793004</v>
      </c>
      <c r="AX88" s="121">
        <f t="shared" si="92"/>
        <v>14824193.958650975</v>
      </c>
      <c r="AY88" s="121">
        <f t="shared" si="92"/>
        <v>15364778.659386329</v>
      </c>
      <c r="AZ88" s="121">
        <f t="shared" si="92"/>
        <v>15916175.05413639</v>
      </c>
      <c r="BA88" s="121">
        <f t="shared" si="92"/>
        <v>16478599.376781452</v>
      </c>
      <c r="BB88" s="121">
        <f t="shared" si="92"/>
        <v>17052272.185879417</v>
      </c>
      <c r="BC88" s="121">
        <f t="shared" si="92"/>
        <v>17637418.451159339</v>
      </c>
      <c r="BD88" s="121">
        <f t="shared" si="92"/>
        <v>18234267.64174486</v>
      </c>
    </row>
    <row r="89" spans="1:56" outlineLevel="1" x14ac:dyDescent="0.25"/>
    <row r="90" spans="1:56" outlineLevel="1" x14ac:dyDescent="0.25">
      <c r="A90" s="17" t="s">
        <v>410</v>
      </c>
      <c r="B90" s="232">
        <f>COUNTIF(B87:Y87,"&lt;=0")</f>
        <v>8</v>
      </c>
    </row>
    <row r="91" spans="1:56" outlineLevel="1" x14ac:dyDescent="0.25">
      <c r="A91" s="17" t="s">
        <v>409</v>
      </c>
      <c r="B91" s="232">
        <f>COUNTIF(B88:Y88,"&lt;=0")</f>
        <v>8</v>
      </c>
    </row>
  </sheetData>
  <dataConsolidate/>
  <mergeCells count="23">
    <mergeCell ref="B12:C12"/>
    <mergeCell ref="I12:J12"/>
    <mergeCell ref="B13:C13"/>
    <mergeCell ref="I13:J13"/>
    <mergeCell ref="B9:C9"/>
    <mergeCell ref="I9:J9"/>
    <mergeCell ref="B10:C10"/>
    <mergeCell ref="I10:J10"/>
    <mergeCell ref="B11:C11"/>
    <mergeCell ref="I11:J11"/>
    <mergeCell ref="B6:C6"/>
    <mergeCell ref="I6:J6"/>
    <mergeCell ref="B7:C7"/>
    <mergeCell ref="I7:J7"/>
    <mergeCell ref="B8:C8"/>
    <mergeCell ref="I8:J8"/>
    <mergeCell ref="B5:C5"/>
    <mergeCell ref="I5:J5"/>
    <mergeCell ref="B3:C3"/>
    <mergeCell ref="G3:H3"/>
    <mergeCell ref="I3:J3"/>
    <mergeCell ref="B4:C4"/>
    <mergeCell ref="I4:J4"/>
  </mergeCells>
  <conditionalFormatting sqref="B82:BD8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7:BD8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8:BD8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0">
    <cfRule type="colorScale" priority="5">
      <colorScale>
        <cfvo type="min"/>
        <cfvo type="max"/>
        <color rgb="FF63BE7B"/>
        <color rgb="FFFFEF9C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">
    <cfRule type="colorScale" priority="3">
      <colorScale>
        <cfvo type="min"/>
        <cfvo type="max"/>
        <color rgb="FF63BE7B"/>
        <color rgb="FFFFEF9C"/>
      </colorScale>
    </cfRule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7:BD67">
    <cfRule type="colorScale" priority="1">
      <colorScale>
        <cfvo type="min"/>
        <cfvo type="max"/>
        <color rgb="FFFCFCFF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C5CAD-5563-BD49-A3D1-84576056CC0C}">
  <sheetPr>
    <tabColor theme="6"/>
  </sheetPr>
  <dimension ref="A1:BD77"/>
  <sheetViews>
    <sheetView showGridLines="0" topLeftCell="A55" zoomScale="144" zoomScaleNormal="90" workbookViewId="0">
      <selection activeCell="I29" sqref="I29"/>
    </sheetView>
  </sheetViews>
  <sheetFormatPr baseColWidth="10" defaultColWidth="9.1640625" defaultRowHeight="16" outlineLevelRow="1" x14ac:dyDescent="0.25"/>
  <cols>
    <col min="1" max="1" width="39.33203125" style="1" customWidth="1"/>
    <col min="2" max="2" width="11" style="1" customWidth="1"/>
    <col min="3" max="3" width="14.33203125" style="1" customWidth="1"/>
    <col min="4" max="4" width="11.5" style="1" customWidth="1"/>
    <col min="5" max="5" width="11.1640625" style="1" customWidth="1"/>
    <col min="6" max="6" width="10.6640625" style="1" customWidth="1"/>
    <col min="7" max="7" width="11.6640625" style="1" customWidth="1"/>
    <col min="8" max="12" width="12.33203125" style="1" bestFit="1" customWidth="1"/>
    <col min="13" max="13" width="12.5" style="1" customWidth="1"/>
    <col min="14" max="14" width="12.33203125" style="1" bestFit="1" customWidth="1"/>
    <col min="15" max="15" width="12.5" style="1" customWidth="1"/>
    <col min="16" max="56" width="13.83203125" style="1" bestFit="1" customWidth="1"/>
    <col min="57" max="16384" width="9.1640625" style="1"/>
  </cols>
  <sheetData>
    <row r="1" spans="1:14" s="4" customFormat="1" x14ac:dyDescent="0.25">
      <c r="A1" s="25" t="s">
        <v>651</v>
      </c>
    </row>
    <row r="2" spans="1:14" x14ac:dyDescent="0.25">
      <c r="A2" s="30" t="s">
        <v>463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09"/>
    </row>
    <row r="3" spans="1:14" s="151" customFormat="1" ht="35" customHeight="1" outlineLevel="1" x14ac:dyDescent="0.25">
      <c r="A3" s="525" t="s">
        <v>363</v>
      </c>
      <c r="B3" s="582" t="s">
        <v>351</v>
      </c>
      <c r="C3" s="582"/>
      <c r="D3" s="524" t="s">
        <v>356</v>
      </c>
      <c r="E3" s="524" t="s">
        <v>352</v>
      </c>
      <c r="F3" s="524" t="s">
        <v>353</v>
      </c>
      <c r="G3" s="583" t="s">
        <v>362</v>
      </c>
      <c r="H3" s="583"/>
      <c r="I3" s="582" t="s">
        <v>351</v>
      </c>
      <c r="J3" s="582"/>
      <c r="K3" s="524" t="s">
        <v>356</v>
      </c>
      <c r="L3" s="524" t="s">
        <v>352</v>
      </c>
      <c r="M3" s="524" t="s">
        <v>353</v>
      </c>
      <c r="N3" s="208"/>
    </row>
    <row r="4" spans="1:14" s="151" customFormat="1" outlineLevel="1" x14ac:dyDescent="0.25">
      <c r="A4" s="104" t="s">
        <v>182</v>
      </c>
      <c r="B4" s="585">
        <v>1</v>
      </c>
      <c r="C4" s="585"/>
      <c r="D4" s="177">
        <f>B16/10</f>
        <v>6</v>
      </c>
      <c r="E4" s="179">
        <f>'Payroll 2020'!E357*7</f>
        <v>280</v>
      </c>
      <c r="F4" s="183">
        <f>E4*D4*B4</f>
        <v>1680</v>
      </c>
      <c r="G4" s="153"/>
      <c r="H4" s="153"/>
      <c r="I4" s="586">
        <v>1</v>
      </c>
      <c r="J4" s="586"/>
      <c r="K4" s="523">
        <f>B16/10</f>
        <v>6</v>
      </c>
      <c r="L4" s="179">
        <f>E4</f>
        <v>280</v>
      </c>
      <c r="M4" s="183">
        <f>L4*K4*I4</f>
        <v>1680</v>
      </c>
      <c r="N4" s="150"/>
    </row>
    <row r="5" spans="1:14" s="151" customFormat="1" outlineLevel="1" x14ac:dyDescent="0.25">
      <c r="A5" s="104" t="s">
        <v>183</v>
      </c>
      <c r="B5" s="585">
        <v>0</v>
      </c>
      <c r="C5" s="585"/>
      <c r="D5" s="184">
        <f>B16/5</f>
        <v>12</v>
      </c>
      <c r="E5" s="179">
        <f>'Payroll 2020'!E358*7</f>
        <v>196</v>
      </c>
      <c r="F5" s="183">
        <f t="shared" ref="F5:F11" si="0">E5*D5*B5</f>
        <v>0</v>
      </c>
      <c r="G5" s="153"/>
      <c r="H5" s="153"/>
      <c r="I5" s="586">
        <v>0</v>
      </c>
      <c r="J5" s="586"/>
      <c r="K5" s="523">
        <f>B19/10</f>
        <v>3</v>
      </c>
      <c r="L5" s="179">
        <f t="shared" ref="L5:L11" si="1">E5</f>
        <v>196</v>
      </c>
      <c r="M5" s="183">
        <f t="shared" ref="M5:M11" si="2">L5*K5*I5</f>
        <v>0</v>
      </c>
    </row>
    <row r="6" spans="1:14" s="151" customFormat="1" ht="16" customHeight="1" outlineLevel="1" x14ac:dyDescent="0.25">
      <c r="A6" s="18" t="s">
        <v>184</v>
      </c>
      <c r="B6" s="587">
        <v>1</v>
      </c>
      <c r="C6" s="587"/>
      <c r="D6" s="177">
        <f>B16/5</f>
        <v>12</v>
      </c>
      <c r="E6" s="179">
        <f>'Payroll 2020'!E361*7</f>
        <v>126</v>
      </c>
      <c r="F6" s="183">
        <f t="shared" si="0"/>
        <v>1512</v>
      </c>
      <c r="I6" s="585">
        <v>1</v>
      </c>
      <c r="J6" s="585"/>
      <c r="K6" s="522">
        <f>B19/10</f>
        <v>3</v>
      </c>
      <c r="L6" s="179">
        <f t="shared" si="1"/>
        <v>126</v>
      </c>
      <c r="M6" s="183">
        <f t="shared" si="2"/>
        <v>378</v>
      </c>
    </row>
    <row r="7" spans="1:14" s="151" customFormat="1" ht="16" customHeight="1" outlineLevel="1" x14ac:dyDescent="0.25">
      <c r="A7" s="18" t="s">
        <v>185</v>
      </c>
      <c r="B7" s="584">
        <v>0</v>
      </c>
      <c r="C7" s="584"/>
      <c r="D7" s="184">
        <f>B16</f>
        <v>60</v>
      </c>
      <c r="E7" s="180">
        <f>'Payroll 2020'!E362*7</f>
        <v>161</v>
      </c>
      <c r="F7" s="183">
        <f t="shared" si="0"/>
        <v>0</v>
      </c>
      <c r="G7" s="150"/>
      <c r="H7" s="150"/>
      <c r="I7" s="585">
        <v>0</v>
      </c>
      <c r="J7" s="585"/>
      <c r="K7" s="522">
        <f>B19</f>
        <v>30</v>
      </c>
      <c r="L7" s="179">
        <f t="shared" si="1"/>
        <v>161</v>
      </c>
      <c r="M7" s="183">
        <f t="shared" si="2"/>
        <v>0</v>
      </c>
    </row>
    <row r="8" spans="1:14" s="151" customFormat="1" outlineLevel="1" x14ac:dyDescent="0.25">
      <c r="A8" s="18" t="s">
        <v>189</v>
      </c>
      <c r="B8" s="585">
        <v>0</v>
      </c>
      <c r="C8" s="585"/>
      <c r="D8" s="177">
        <v>50</v>
      </c>
      <c r="E8" s="179">
        <f>'Payroll 2020'!E365*7</f>
        <v>210</v>
      </c>
      <c r="F8" s="183">
        <f t="shared" si="0"/>
        <v>0</v>
      </c>
      <c r="G8" s="153"/>
      <c r="H8" s="153"/>
      <c r="I8" s="586">
        <v>0</v>
      </c>
      <c r="J8" s="586"/>
      <c r="K8" s="523">
        <v>0</v>
      </c>
      <c r="L8" s="179">
        <f t="shared" si="1"/>
        <v>210</v>
      </c>
      <c r="M8" s="183">
        <f t="shared" si="2"/>
        <v>0</v>
      </c>
    </row>
    <row r="9" spans="1:14" s="151" customFormat="1" outlineLevel="1" x14ac:dyDescent="0.25">
      <c r="A9" s="18" t="s">
        <v>190</v>
      </c>
      <c r="B9" s="587">
        <v>1</v>
      </c>
      <c r="C9" s="587"/>
      <c r="D9" s="184">
        <f>B16</f>
        <v>60</v>
      </c>
      <c r="E9" s="179">
        <f>'Payroll 2020'!E366*7</f>
        <v>52.5</v>
      </c>
      <c r="F9" s="183">
        <f t="shared" si="0"/>
        <v>3150</v>
      </c>
      <c r="I9" s="585">
        <v>1</v>
      </c>
      <c r="J9" s="585"/>
      <c r="K9" s="522">
        <f>B19</f>
        <v>30</v>
      </c>
      <c r="L9" s="179">
        <f t="shared" si="1"/>
        <v>52.5</v>
      </c>
      <c r="M9" s="183">
        <f t="shared" si="2"/>
        <v>1575</v>
      </c>
    </row>
    <row r="10" spans="1:14" s="154" customFormat="1" ht="17" customHeight="1" outlineLevel="1" x14ac:dyDescent="0.25">
      <c r="A10" s="18" t="s">
        <v>191</v>
      </c>
      <c r="B10" s="585">
        <v>1</v>
      </c>
      <c r="C10" s="585"/>
      <c r="D10" s="522">
        <f>B16</f>
        <v>60</v>
      </c>
      <c r="E10" s="181">
        <f>'Payroll 2020'!E367*7</f>
        <v>70</v>
      </c>
      <c r="F10" s="183">
        <f t="shared" si="0"/>
        <v>4200</v>
      </c>
      <c r="I10" s="585">
        <v>1</v>
      </c>
      <c r="J10" s="585"/>
      <c r="K10" s="522">
        <f>B19</f>
        <v>30</v>
      </c>
      <c r="L10" s="179">
        <f t="shared" si="1"/>
        <v>70</v>
      </c>
      <c r="M10" s="183">
        <f t="shared" si="2"/>
        <v>2100</v>
      </c>
    </row>
    <row r="11" spans="1:14" s="151" customFormat="1" outlineLevel="1" x14ac:dyDescent="0.25">
      <c r="A11" s="18" t="s">
        <v>350</v>
      </c>
      <c r="B11" s="585">
        <v>0</v>
      </c>
      <c r="C11" s="585"/>
      <c r="D11" s="522">
        <f>B16</f>
        <v>60</v>
      </c>
      <c r="E11" s="182">
        <f>'Payroll 2020'!E377*7</f>
        <v>52.5</v>
      </c>
      <c r="F11" s="183">
        <f t="shared" si="0"/>
        <v>0</v>
      </c>
      <c r="G11" s="175"/>
      <c r="H11" s="175"/>
      <c r="I11" s="585">
        <v>0</v>
      </c>
      <c r="J11" s="585"/>
      <c r="K11" s="522">
        <v>0</v>
      </c>
      <c r="L11" s="179">
        <f t="shared" si="1"/>
        <v>52.5</v>
      </c>
      <c r="M11" s="183">
        <f t="shared" si="2"/>
        <v>0</v>
      </c>
    </row>
    <row r="12" spans="1:14" s="151" customFormat="1" outlineLevel="1" x14ac:dyDescent="0.25">
      <c r="A12" s="18" t="s">
        <v>194</v>
      </c>
      <c r="B12" s="588">
        <v>0</v>
      </c>
      <c r="C12" s="588"/>
      <c r="D12" s="522">
        <f>B16/6</f>
        <v>10</v>
      </c>
      <c r="E12" s="179">
        <f>'Payroll 2020'!E371*7</f>
        <v>175</v>
      </c>
      <c r="F12" s="183">
        <f>E12*D12*B12</f>
        <v>0</v>
      </c>
      <c r="H12" s="156"/>
      <c r="I12" s="586">
        <v>0</v>
      </c>
      <c r="J12" s="586"/>
      <c r="K12" s="522">
        <v>0</v>
      </c>
      <c r="L12" s="179">
        <f>E12</f>
        <v>175</v>
      </c>
      <c r="M12" s="183">
        <f>L12*K12*I12</f>
        <v>0</v>
      </c>
    </row>
    <row r="13" spans="1:14" s="151" customFormat="1" outlineLevel="1" x14ac:dyDescent="0.25">
      <c r="A13" s="17" t="s">
        <v>361</v>
      </c>
      <c r="B13" s="589">
        <f>SUM(B4:C12)</f>
        <v>4</v>
      </c>
      <c r="C13" s="589"/>
      <c r="D13" s="187">
        <f>SUM(D4:D12)</f>
        <v>330</v>
      </c>
      <c r="E13" s="178"/>
      <c r="F13" s="188">
        <f>SUM(F4:F12)</f>
        <v>10542</v>
      </c>
      <c r="H13" s="156"/>
      <c r="I13" s="589">
        <f>SUM(I4:J12)</f>
        <v>4</v>
      </c>
      <c r="J13" s="589"/>
      <c r="K13" s="187">
        <f>SUM(K4:K12)</f>
        <v>102</v>
      </c>
      <c r="L13" s="178"/>
      <c r="M13" s="188">
        <f>SUM(M4:M12)</f>
        <v>5733</v>
      </c>
    </row>
    <row r="14" spans="1:14" s="151" customFormat="1" outlineLevel="1" x14ac:dyDescent="0.25">
      <c r="B14" s="155"/>
      <c r="E14" s="150"/>
      <c r="H14" s="156"/>
      <c r="I14" s="153"/>
      <c r="J14" s="153"/>
    </row>
    <row r="15" spans="1:14" s="151" customFormat="1" outlineLevel="1" x14ac:dyDescent="0.25">
      <c r="A15" s="150" t="s">
        <v>354</v>
      </c>
      <c r="B15" s="176">
        <v>44256</v>
      </c>
      <c r="E15" s="150"/>
      <c r="F15" s="150" t="s">
        <v>55</v>
      </c>
      <c r="H15" s="156"/>
      <c r="I15" s="153"/>
      <c r="J15" s="153"/>
    </row>
    <row r="16" spans="1:14" s="151" customFormat="1" outlineLevel="1" x14ac:dyDescent="0.25">
      <c r="A16" s="151" t="s">
        <v>356</v>
      </c>
      <c r="B16" s="173">
        <v>60</v>
      </c>
      <c r="C16" s="151">
        <f>ROUND(B16/31,0)</f>
        <v>2</v>
      </c>
      <c r="D16" s="151" t="s">
        <v>236</v>
      </c>
      <c r="F16" s="151" t="s">
        <v>366</v>
      </c>
      <c r="I16" s="183">
        <v>200</v>
      </c>
      <c r="J16" s="151" t="s">
        <v>257</v>
      </c>
    </row>
    <row r="17" spans="1:13" s="151" customFormat="1" outlineLevel="1" x14ac:dyDescent="0.25">
      <c r="A17" s="151" t="s">
        <v>355</v>
      </c>
      <c r="B17" s="176">
        <f>B15+B16</f>
        <v>44316</v>
      </c>
      <c r="E17" s="150"/>
      <c r="F17" s="151" t="s">
        <v>256</v>
      </c>
      <c r="H17" s="156"/>
      <c r="I17" s="192">
        <v>1.4999999999999999E-2</v>
      </c>
      <c r="J17" s="151" t="s">
        <v>257</v>
      </c>
    </row>
    <row r="18" spans="1:13" s="151" customFormat="1" outlineLevel="1" x14ac:dyDescent="0.25">
      <c r="A18" s="150" t="s">
        <v>357</v>
      </c>
      <c r="B18" s="176">
        <f>B17+1</f>
        <v>44317</v>
      </c>
      <c r="F18" s="151" t="s">
        <v>365</v>
      </c>
      <c r="I18" s="193">
        <v>0.01</v>
      </c>
      <c r="J18" s="151" t="s">
        <v>257</v>
      </c>
    </row>
    <row r="19" spans="1:13" s="151" customFormat="1" outlineLevel="1" x14ac:dyDescent="0.25">
      <c r="A19" s="151" t="s">
        <v>356</v>
      </c>
      <c r="B19" s="173">
        <v>30</v>
      </c>
      <c r="C19" s="151">
        <f>ROUND(B19/31,0)</f>
        <v>1</v>
      </c>
      <c r="D19" s="151" t="s">
        <v>236</v>
      </c>
      <c r="I19" s="566"/>
    </row>
    <row r="20" spans="1:13" s="151" customFormat="1" outlineLevel="1" x14ac:dyDescent="0.25">
      <c r="A20" s="151" t="s">
        <v>358</v>
      </c>
      <c r="B20" s="176">
        <f>B18+B19</f>
        <v>44347</v>
      </c>
    </row>
    <row r="21" spans="1:13" s="151" customFormat="1" outlineLevel="1" x14ac:dyDescent="0.25">
      <c r="B21" s="176"/>
      <c r="F21" s="150" t="s">
        <v>467</v>
      </c>
    </row>
    <row r="22" spans="1:13" s="151" customFormat="1" outlineLevel="1" x14ac:dyDescent="0.25">
      <c r="B22" s="176"/>
      <c r="F22" s="150" t="s">
        <v>469</v>
      </c>
      <c r="I22" s="176">
        <f>B20+1</f>
        <v>44348</v>
      </c>
    </row>
    <row r="23" spans="1:13" s="151" customFormat="1" outlineLevel="1" x14ac:dyDescent="0.25">
      <c r="B23" s="176"/>
      <c r="F23" s="151" t="s">
        <v>468</v>
      </c>
      <c r="I23" s="183">
        <v>1500</v>
      </c>
      <c r="J23" s="151" t="s">
        <v>257</v>
      </c>
    </row>
    <row r="24" spans="1:13" s="151" customFormat="1" x14ac:dyDescent="0.25">
      <c r="B24" s="176"/>
    </row>
    <row r="25" spans="1:13" s="151" customFormat="1" x14ac:dyDescent="0.25">
      <c r="A25" s="30" t="s">
        <v>377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</row>
    <row r="26" spans="1:13" s="151" customFormat="1" outlineLevel="1" x14ac:dyDescent="0.25">
      <c r="A26" s="150" t="s">
        <v>652</v>
      </c>
      <c r="F26" s="150"/>
      <c r="G26" s="176"/>
      <c r="I26" s="183"/>
    </row>
    <row r="27" spans="1:13" s="151" customFormat="1" outlineLevel="1" x14ac:dyDescent="0.25">
      <c r="A27" s="561">
        <v>0.99</v>
      </c>
      <c r="C27" s="153">
        <v>0.5</v>
      </c>
      <c r="F27" s="151" t="s">
        <v>654</v>
      </c>
      <c r="G27" s="176"/>
      <c r="I27" s="442">
        <v>1500000</v>
      </c>
      <c r="J27" s="562" t="s">
        <v>655</v>
      </c>
    </row>
    <row r="28" spans="1:13" s="151" customFormat="1" outlineLevel="1" x14ac:dyDescent="0.25">
      <c r="A28" s="561">
        <v>1.99</v>
      </c>
      <c r="C28" s="153">
        <v>0.2</v>
      </c>
      <c r="F28" s="446" t="s">
        <v>656</v>
      </c>
      <c r="G28" s="176"/>
      <c r="H28" s="155"/>
      <c r="I28" s="193">
        <v>0.1</v>
      </c>
      <c r="J28" s="151" t="s">
        <v>257</v>
      </c>
    </row>
    <row r="29" spans="1:13" s="151" customFormat="1" outlineLevel="1" x14ac:dyDescent="0.25">
      <c r="A29" s="561">
        <v>2.99</v>
      </c>
      <c r="C29" s="153">
        <v>0.15</v>
      </c>
      <c r="F29" s="446" t="s">
        <v>657</v>
      </c>
      <c r="H29" s="155"/>
      <c r="I29" s="192">
        <v>1.4999999999999999E-2</v>
      </c>
    </row>
    <row r="30" spans="1:13" s="151" customFormat="1" outlineLevel="1" x14ac:dyDescent="0.25">
      <c r="A30" s="561">
        <v>4.99</v>
      </c>
      <c r="C30" s="153">
        <v>0.1</v>
      </c>
      <c r="F30" s="446"/>
      <c r="H30" s="155"/>
    </row>
    <row r="31" spans="1:13" s="151" customFormat="1" outlineLevel="1" x14ac:dyDescent="0.25">
      <c r="A31" s="561">
        <v>9.99</v>
      </c>
      <c r="C31" s="153">
        <v>0.04</v>
      </c>
      <c r="F31" s="151" t="s">
        <v>660</v>
      </c>
      <c r="I31" s="566">
        <v>0.05</v>
      </c>
    </row>
    <row r="32" spans="1:13" s="151" customFormat="1" outlineLevel="1" x14ac:dyDescent="0.25">
      <c r="A32" s="561">
        <v>19.989999999999998</v>
      </c>
      <c r="C32" s="153">
        <v>0.01</v>
      </c>
      <c r="F32" s="150"/>
      <c r="I32" s="153"/>
    </row>
    <row r="33" spans="1:56" s="151" customFormat="1" outlineLevel="1" x14ac:dyDescent="0.25">
      <c r="A33" s="151" t="s">
        <v>653</v>
      </c>
      <c r="C33" s="442">
        <v>2</v>
      </c>
      <c r="H33" s="153"/>
      <c r="I33" s="153"/>
    </row>
    <row r="34" spans="1:56" s="151" customFormat="1" outlineLevel="1" x14ac:dyDescent="0.25">
      <c r="C34" s="153"/>
      <c r="H34" s="153"/>
      <c r="I34" s="153"/>
    </row>
    <row r="35" spans="1:56" s="151" customFormat="1" x14ac:dyDescent="0.25">
      <c r="A35" s="27" t="s">
        <v>658</v>
      </c>
      <c r="B35" s="76">
        <f>B15</f>
        <v>44256</v>
      </c>
      <c r="C35" s="76">
        <f t="shared" ref="C35:M35" si="3">C55</f>
        <v>44287</v>
      </c>
      <c r="D35" s="76">
        <f t="shared" si="3"/>
        <v>44318</v>
      </c>
      <c r="E35" s="76">
        <f t="shared" si="3"/>
        <v>44349</v>
      </c>
      <c r="F35" s="76">
        <f t="shared" si="3"/>
        <v>44380</v>
      </c>
      <c r="G35" s="76">
        <f t="shared" si="3"/>
        <v>44411</v>
      </c>
      <c r="H35" s="76">
        <f t="shared" si="3"/>
        <v>44442</v>
      </c>
      <c r="I35" s="76">
        <f t="shared" si="3"/>
        <v>44473</v>
      </c>
      <c r="J35" s="76">
        <f t="shared" si="3"/>
        <v>44504</v>
      </c>
      <c r="K35" s="76">
        <f t="shared" si="3"/>
        <v>44535</v>
      </c>
      <c r="L35" s="76">
        <f t="shared" si="3"/>
        <v>44566</v>
      </c>
      <c r="M35" s="76">
        <f t="shared" si="3"/>
        <v>44597</v>
      </c>
      <c r="N35" s="76">
        <f>M35+31</f>
        <v>44628</v>
      </c>
      <c r="O35" s="76">
        <f t="shared" ref="O35:BD35" si="4">N35+31</f>
        <v>44659</v>
      </c>
      <c r="P35" s="76">
        <f t="shared" si="4"/>
        <v>44690</v>
      </c>
      <c r="Q35" s="76">
        <f t="shared" si="4"/>
        <v>44721</v>
      </c>
      <c r="R35" s="76">
        <f t="shared" si="4"/>
        <v>44752</v>
      </c>
      <c r="S35" s="76">
        <f t="shared" si="4"/>
        <v>44783</v>
      </c>
      <c r="T35" s="76">
        <f t="shared" si="4"/>
        <v>44814</v>
      </c>
      <c r="U35" s="76">
        <f t="shared" si="4"/>
        <v>44845</v>
      </c>
      <c r="V35" s="76">
        <f t="shared" si="4"/>
        <v>44876</v>
      </c>
      <c r="W35" s="76">
        <f t="shared" si="4"/>
        <v>44907</v>
      </c>
      <c r="X35" s="76">
        <f t="shared" si="4"/>
        <v>44938</v>
      </c>
      <c r="Y35" s="76">
        <f t="shared" si="4"/>
        <v>44969</v>
      </c>
      <c r="Z35" s="76">
        <f t="shared" si="4"/>
        <v>45000</v>
      </c>
      <c r="AA35" s="76">
        <f t="shared" si="4"/>
        <v>45031</v>
      </c>
      <c r="AB35" s="76">
        <f t="shared" si="4"/>
        <v>45062</v>
      </c>
      <c r="AC35" s="76">
        <f t="shared" si="4"/>
        <v>45093</v>
      </c>
      <c r="AD35" s="76">
        <f t="shared" si="4"/>
        <v>45124</v>
      </c>
      <c r="AE35" s="76">
        <f t="shared" si="4"/>
        <v>45155</v>
      </c>
      <c r="AF35" s="76">
        <f t="shared" si="4"/>
        <v>45186</v>
      </c>
      <c r="AG35" s="76">
        <f t="shared" si="4"/>
        <v>45217</v>
      </c>
      <c r="AH35" s="76">
        <f t="shared" si="4"/>
        <v>45248</v>
      </c>
      <c r="AI35" s="76">
        <f t="shared" si="4"/>
        <v>45279</v>
      </c>
      <c r="AJ35" s="76">
        <f t="shared" si="4"/>
        <v>45310</v>
      </c>
      <c r="AK35" s="76">
        <f t="shared" si="4"/>
        <v>45341</v>
      </c>
      <c r="AL35" s="76">
        <f t="shared" si="4"/>
        <v>45372</v>
      </c>
      <c r="AM35" s="76">
        <f t="shared" si="4"/>
        <v>45403</v>
      </c>
      <c r="AN35" s="76">
        <f t="shared" si="4"/>
        <v>45434</v>
      </c>
      <c r="AO35" s="76">
        <f t="shared" si="4"/>
        <v>45465</v>
      </c>
      <c r="AP35" s="76">
        <f t="shared" si="4"/>
        <v>45496</v>
      </c>
      <c r="AQ35" s="76">
        <f t="shared" si="4"/>
        <v>45527</v>
      </c>
      <c r="AR35" s="76">
        <f t="shared" si="4"/>
        <v>45558</v>
      </c>
      <c r="AS35" s="76">
        <f t="shared" si="4"/>
        <v>45589</v>
      </c>
      <c r="AT35" s="76">
        <f t="shared" si="4"/>
        <v>45620</v>
      </c>
      <c r="AU35" s="76">
        <f t="shared" si="4"/>
        <v>45651</v>
      </c>
      <c r="AV35" s="76">
        <f t="shared" si="4"/>
        <v>45682</v>
      </c>
      <c r="AW35" s="76">
        <f t="shared" si="4"/>
        <v>45713</v>
      </c>
      <c r="AX35" s="76">
        <f t="shared" si="4"/>
        <v>45744</v>
      </c>
      <c r="AY35" s="76">
        <f t="shared" si="4"/>
        <v>45775</v>
      </c>
      <c r="AZ35" s="76">
        <f t="shared" si="4"/>
        <v>45806</v>
      </c>
      <c r="BA35" s="76">
        <f t="shared" si="4"/>
        <v>45837</v>
      </c>
      <c r="BB35" s="76">
        <f t="shared" si="4"/>
        <v>45868</v>
      </c>
      <c r="BC35" s="76">
        <f t="shared" si="4"/>
        <v>45899</v>
      </c>
      <c r="BD35" s="76">
        <f t="shared" si="4"/>
        <v>45930</v>
      </c>
    </row>
    <row r="36" spans="1:56" s="445" customFormat="1" ht="17" x14ac:dyDescent="0.25">
      <c r="A36" s="443" t="str">
        <f>F27</f>
        <v>Number of people reached by game publisher</v>
      </c>
      <c r="B36" s="444" t="str">
        <f>IF(SUM(B56:B57)&gt;0,"0",$I$27)</f>
        <v>0</v>
      </c>
      <c r="C36" s="444" t="str">
        <f t="shared" ref="C36:AH36" si="5">IF(AND(SUM(C56:C57)&gt;0,B36=0),"0",IF(AND(SUM(C56:C57)=0,B36="0"),$I$27,IF(AND(SUM(C56:C57)=0,B36&gt;=$I$27),B36+(B36*$I$28),"0")))</f>
        <v>0</v>
      </c>
      <c r="D36" s="444" t="str">
        <f t="shared" si="5"/>
        <v>0</v>
      </c>
      <c r="E36" s="444">
        <f t="shared" si="5"/>
        <v>1500000</v>
      </c>
      <c r="F36" s="444">
        <f t="shared" si="5"/>
        <v>1650000</v>
      </c>
      <c r="G36" s="444">
        <f t="shared" si="5"/>
        <v>1815000</v>
      </c>
      <c r="H36" s="444">
        <f t="shared" si="5"/>
        <v>1996500</v>
      </c>
      <c r="I36" s="444">
        <f t="shared" si="5"/>
        <v>2196150</v>
      </c>
      <c r="J36" s="444">
        <f t="shared" si="5"/>
        <v>2415765</v>
      </c>
      <c r="K36" s="444">
        <f t="shared" si="5"/>
        <v>2657341.5</v>
      </c>
      <c r="L36" s="444">
        <f t="shared" si="5"/>
        <v>2923075.65</v>
      </c>
      <c r="M36" s="444">
        <f t="shared" si="5"/>
        <v>3215383.2149999999</v>
      </c>
      <c r="N36" s="444">
        <f t="shared" si="5"/>
        <v>3536921.5364999999</v>
      </c>
      <c r="O36" s="444">
        <f t="shared" si="5"/>
        <v>3890613.6901500002</v>
      </c>
      <c r="P36" s="444">
        <f t="shared" si="5"/>
        <v>4279675.059165</v>
      </c>
      <c r="Q36" s="444">
        <f t="shared" si="5"/>
        <v>4707642.5650814995</v>
      </c>
      <c r="R36" s="444">
        <f t="shared" si="5"/>
        <v>5178406.8215896497</v>
      </c>
      <c r="S36" s="444">
        <f t="shared" si="5"/>
        <v>5696247.5037486143</v>
      </c>
      <c r="T36" s="444">
        <f t="shared" si="5"/>
        <v>6265872.2541234754</v>
      </c>
      <c r="U36" s="444">
        <f t="shared" si="5"/>
        <v>6892459.4795358228</v>
      </c>
      <c r="V36" s="444">
        <f t="shared" si="5"/>
        <v>7581705.4274894055</v>
      </c>
      <c r="W36" s="444">
        <f t="shared" si="5"/>
        <v>8339875.9702383466</v>
      </c>
      <c r="X36" s="444">
        <f t="shared" si="5"/>
        <v>9173863.567262182</v>
      </c>
      <c r="Y36" s="444">
        <f t="shared" si="5"/>
        <v>10091249.9239884</v>
      </c>
      <c r="Z36" s="444">
        <f t="shared" si="5"/>
        <v>11100374.916387239</v>
      </c>
      <c r="AA36" s="444">
        <f t="shared" si="5"/>
        <v>12210412.408025963</v>
      </c>
      <c r="AB36" s="444">
        <f t="shared" si="5"/>
        <v>13431453.648828559</v>
      </c>
      <c r="AC36" s="444">
        <f t="shared" si="5"/>
        <v>14774599.013711415</v>
      </c>
      <c r="AD36" s="444">
        <f t="shared" si="5"/>
        <v>16252058.915082557</v>
      </c>
      <c r="AE36" s="444">
        <f t="shared" si="5"/>
        <v>17877264.806590814</v>
      </c>
      <c r="AF36" s="444">
        <f t="shared" si="5"/>
        <v>19664991.287249897</v>
      </c>
      <c r="AG36" s="444">
        <f t="shared" si="5"/>
        <v>21631490.415974885</v>
      </c>
      <c r="AH36" s="444">
        <f t="shared" si="5"/>
        <v>23794639.457572374</v>
      </c>
      <c r="AI36" s="444">
        <f t="shared" ref="AI36:BD36" si="6">IF(AND(SUM(AI56:AI57)&gt;0,AH36=0),"0",IF(AND(SUM(AI56:AI57)=0,AH36="0"),$I$27,IF(AND(SUM(AI56:AI57)=0,AH36&gt;=$I$27),AH36+(AH36*$I$28),"0")))</f>
        <v>26174103.403329611</v>
      </c>
      <c r="AJ36" s="444">
        <f t="shared" si="6"/>
        <v>28791513.743662573</v>
      </c>
      <c r="AK36" s="444">
        <f t="shared" si="6"/>
        <v>31670665.118028831</v>
      </c>
      <c r="AL36" s="444">
        <f t="shared" si="6"/>
        <v>34837731.629831716</v>
      </c>
      <c r="AM36" s="444">
        <f t="shared" si="6"/>
        <v>38321504.792814888</v>
      </c>
      <c r="AN36" s="444">
        <f t="shared" si="6"/>
        <v>42153655.272096381</v>
      </c>
      <c r="AO36" s="444">
        <f t="shared" si="6"/>
        <v>46369020.79930602</v>
      </c>
      <c r="AP36" s="444">
        <f t="shared" si="6"/>
        <v>51005922.879236624</v>
      </c>
      <c r="AQ36" s="444">
        <f t="shared" si="6"/>
        <v>56106515.167160287</v>
      </c>
      <c r="AR36" s="444">
        <f t="shared" si="6"/>
        <v>61717166.683876321</v>
      </c>
      <c r="AS36" s="444">
        <f t="shared" si="6"/>
        <v>67888883.352263957</v>
      </c>
      <c r="AT36" s="444">
        <f t="shared" si="6"/>
        <v>74677771.687490359</v>
      </c>
      <c r="AU36" s="444">
        <f t="shared" si="6"/>
        <v>82145548.856239393</v>
      </c>
      <c r="AV36" s="444">
        <f t="shared" si="6"/>
        <v>90360103.74186334</v>
      </c>
      <c r="AW36" s="444">
        <f t="shared" si="6"/>
        <v>99396114.116049677</v>
      </c>
      <c r="AX36" s="444">
        <f t="shared" si="6"/>
        <v>109335725.52765465</v>
      </c>
      <c r="AY36" s="444">
        <f t="shared" si="6"/>
        <v>120269298.08042011</v>
      </c>
      <c r="AZ36" s="444">
        <f t="shared" si="6"/>
        <v>132296227.88846213</v>
      </c>
      <c r="BA36" s="444">
        <f t="shared" si="6"/>
        <v>145525850.67730835</v>
      </c>
      <c r="BB36" s="444">
        <f t="shared" si="6"/>
        <v>160078435.74503919</v>
      </c>
      <c r="BC36" s="444">
        <f t="shared" si="6"/>
        <v>176086279.31954312</v>
      </c>
      <c r="BD36" s="444">
        <f t="shared" si="6"/>
        <v>193694907.25149745</v>
      </c>
    </row>
    <row r="37" spans="1:56" s="159" customFormat="1" x14ac:dyDescent="0.25">
      <c r="A37" s="159" t="s">
        <v>659</v>
      </c>
      <c r="B37" s="447">
        <f t="shared" ref="B37:AG37" si="7">B36*$I$29</f>
        <v>0</v>
      </c>
      <c r="C37" s="447">
        <f t="shared" si="7"/>
        <v>0</v>
      </c>
      <c r="D37" s="447">
        <f t="shared" si="7"/>
        <v>0</v>
      </c>
      <c r="E37" s="447">
        <f t="shared" si="7"/>
        <v>22500</v>
      </c>
      <c r="F37" s="447">
        <f t="shared" si="7"/>
        <v>24750</v>
      </c>
      <c r="G37" s="447">
        <f t="shared" si="7"/>
        <v>27225</v>
      </c>
      <c r="H37" s="447">
        <f t="shared" si="7"/>
        <v>29947.5</v>
      </c>
      <c r="I37" s="447">
        <f t="shared" si="7"/>
        <v>32942.25</v>
      </c>
      <c r="J37" s="447">
        <f t="shared" si="7"/>
        <v>36236.474999999999</v>
      </c>
      <c r="K37" s="447">
        <f t="shared" si="7"/>
        <v>39860.122499999998</v>
      </c>
      <c r="L37" s="447">
        <f t="shared" si="7"/>
        <v>43846.134749999997</v>
      </c>
      <c r="M37" s="447">
        <f t="shared" si="7"/>
        <v>48230.748224999996</v>
      </c>
      <c r="N37" s="447">
        <f t="shared" si="7"/>
        <v>53053.823047499995</v>
      </c>
      <c r="O37" s="447">
        <f t="shared" si="7"/>
        <v>58359.205352249999</v>
      </c>
      <c r="P37" s="447">
        <f t="shared" si="7"/>
        <v>64195.125887474998</v>
      </c>
      <c r="Q37" s="447">
        <f t="shared" si="7"/>
        <v>70614.638476222492</v>
      </c>
      <c r="R37" s="447">
        <f t="shared" si="7"/>
        <v>77676.102323844738</v>
      </c>
      <c r="S37" s="447">
        <f t="shared" si="7"/>
        <v>85443.712556229206</v>
      </c>
      <c r="T37" s="447">
        <f t="shared" si="7"/>
        <v>93988.083811852121</v>
      </c>
      <c r="U37" s="447">
        <f t="shared" si="7"/>
        <v>103386.89219303733</v>
      </c>
      <c r="V37" s="447">
        <f t="shared" si="7"/>
        <v>113725.58141234108</v>
      </c>
      <c r="W37" s="447">
        <f t="shared" si="7"/>
        <v>125098.13955357519</v>
      </c>
      <c r="X37" s="447">
        <f t="shared" si="7"/>
        <v>137607.95350893273</v>
      </c>
      <c r="Y37" s="447">
        <f t="shared" si="7"/>
        <v>151368.74885982598</v>
      </c>
      <c r="Z37" s="447">
        <f t="shared" si="7"/>
        <v>166505.62374580858</v>
      </c>
      <c r="AA37" s="447">
        <f t="shared" si="7"/>
        <v>183156.18612038944</v>
      </c>
      <c r="AB37" s="447">
        <f t="shared" si="7"/>
        <v>201471.80473242837</v>
      </c>
      <c r="AC37" s="447">
        <f t="shared" si="7"/>
        <v>221618.98520567123</v>
      </c>
      <c r="AD37" s="447">
        <f t="shared" si="7"/>
        <v>243780.88372623836</v>
      </c>
      <c r="AE37" s="447">
        <f t="shared" si="7"/>
        <v>268158.97209886223</v>
      </c>
      <c r="AF37" s="447">
        <f t="shared" si="7"/>
        <v>294974.86930874846</v>
      </c>
      <c r="AG37" s="447">
        <f t="shared" si="7"/>
        <v>324472.35623962327</v>
      </c>
      <c r="AH37" s="447">
        <f t="shared" ref="AH37:BD37" si="8">AH36*$I$29</f>
        <v>356919.59186358558</v>
      </c>
      <c r="AI37" s="447">
        <f t="shared" si="8"/>
        <v>392611.55104994413</v>
      </c>
      <c r="AJ37" s="447">
        <f t="shared" si="8"/>
        <v>431872.70615493861</v>
      </c>
      <c r="AK37" s="447">
        <f t="shared" si="8"/>
        <v>475059.97677043243</v>
      </c>
      <c r="AL37" s="447">
        <f t="shared" si="8"/>
        <v>522565.97444747575</v>
      </c>
      <c r="AM37" s="447">
        <f t="shared" si="8"/>
        <v>574822.57189222332</v>
      </c>
      <c r="AN37" s="447">
        <f t="shared" si="8"/>
        <v>632304.8290814457</v>
      </c>
      <c r="AO37" s="447">
        <f t="shared" si="8"/>
        <v>695535.31198959029</v>
      </c>
      <c r="AP37" s="447">
        <f t="shared" si="8"/>
        <v>765088.84318854928</v>
      </c>
      <c r="AQ37" s="447">
        <f t="shared" si="8"/>
        <v>841597.72750740428</v>
      </c>
      <c r="AR37" s="447">
        <f t="shared" si="8"/>
        <v>925757.50025814481</v>
      </c>
      <c r="AS37" s="447">
        <f t="shared" si="8"/>
        <v>1018333.2502839593</v>
      </c>
      <c r="AT37" s="447">
        <f t="shared" si="8"/>
        <v>1120166.5753123553</v>
      </c>
      <c r="AU37" s="447">
        <f t="shared" si="8"/>
        <v>1232183.2328435909</v>
      </c>
      <c r="AV37" s="447">
        <f t="shared" si="8"/>
        <v>1355401.5561279501</v>
      </c>
      <c r="AW37" s="447">
        <f t="shared" si="8"/>
        <v>1490941.711740745</v>
      </c>
      <c r="AX37" s="447">
        <f t="shared" si="8"/>
        <v>1640035.8829148198</v>
      </c>
      <c r="AY37" s="447">
        <f t="shared" si="8"/>
        <v>1804039.4712063016</v>
      </c>
      <c r="AZ37" s="447">
        <f t="shared" si="8"/>
        <v>1984443.4183269318</v>
      </c>
      <c r="BA37" s="447">
        <f t="shared" si="8"/>
        <v>2182887.7601596252</v>
      </c>
      <c r="BB37" s="447">
        <f t="shared" si="8"/>
        <v>2401176.5361755877</v>
      </c>
      <c r="BC37" s="447">
        <f t="shared" si="8"/>
        <v>2641294.1897931467</v>
      </c>
      <c r="BD37" s="447">
        <f t="shared" si="8"/>
        <v>2905423.6087724618</v>
      </c>
    </row>
    <row r="38" spans="1:56" s="159" customFormat="1" x14ac:dyDescent="0.25">
      <c r="B38" s="447"/>
      <c r="C38" s="447"/>
      <c r="D38" s="447"/>
      <c r="E38" s="447"/>
      <c r="F38" s="4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447"/>
      <c r="S38" s="447"/>
      <c r="T38" s="447"/>
      <c r="U38" s="447"/>
      <c r="V38" s="447"/>
      <c r="W38" s="447"/>
      <c r="X38" s="447"/>
      <c r="Y38" s="447"/>
      <c r="Z38" s="447"/>
      <c r="AA38" s="447"/>
      <c r="AB38" s="447"/>
      <c r="AC38" s="447"/>
      <c r="AD38" s="447"/>
      <c r="AE38" s="447"/>
      <c r="AF38" s="447"/>
      <c r="AG38" s="447"/>
      <c r="AH38" s="447"/>
      <c r="AI38" s="447"/>
      <c r="AJ38" s="447"/>
      <c r="AK38" s="447"/>
      <c r="AL38" s="447"/>
      <c r="AM38" s="447"/>
      <c r="AN38" s="447"/>
      <c r="AO38" s="447"/>
      <c r="AP38" s="447"/>
      <c r="AQ38" s="447"/>
      <c r="AR38" s="447"/>
      <c r="AS38" s="447"/>
      <c r="AT38" s="447"/>
      <c r="AU38" s="447"/>
      <c r="AV38" s="447"/>
      <c r="AW38" s="447"/>
      <c r="AX38" s="447"/>
      <c r="AY38" s="447"/>
      <c r="AZ38" s="447"/>
      <c r="BA38" s="447"/>
      <c r="BB38" s="447"/>
      <c r="BC38" s="447"/>
      <c r="BD38" s="447"/>
    </row>
    <row r="39" spans="1:56" s="436" customFormat="1" x14ac:dyDescent="0.25">
      <c r="A39" s="23" t="s">
        <v>235</v>
      </c>
      <c r="B39" s="24">
        <f>B35</f>
        <v>44256</v>
      </c>
      <c r="C39" s="24">
        <f t="shared" ref="C39:BD39" si="9">C35</f>
        <v>44287</v>
      </c>
      <c r="D39" s="24">
        <f t="shared" si="9"/>
        <v>44318</v>
      </c>
      <c r="E39" s="24">
        <f t="shared" si="9"/>
        <v>44349</v>
      </c>
      <c r="F39" s="24">
        <f t="shared" si="9"/>
        <v>44380</v>
      </c>
      <c r="G39" s="24">
        <f t="shared" si="9"/>
        <v>44411</v>
      </c>
      <c r="H39" s="24">
        <f t="shared" si="9"/>
        <v>44442</v>
      </c>
      <c r="I39" s="24">
        <f t="shared" si="9"/>
        <v>44473</v>
      </c>
      <c r="J39" s="24">
        <f t="shared" si="9"/>
        <v>44504</v>
      </c>
      <c r="K39" s="24">
        <f t="shared" si="9"/>
        <v>44535</v>
      </c>
      <c r="L39" s="24">
        <f t="shared" si="9"/>
        <v>44566</v>
      </c>
      <c r="M39" s="24">
        <f t="shared" si="9"/>
        <v>44597</v>
      </c>
      <c r="N39" s="24">
        <f t="shared" si="9"/>
        <v>44628</v>
      </c>
      <c r="O39" s="24">
        <f t="shared" si="9"/>
        <v>44659</v>
      </c>
      <c r="P39" s="24">
        <f t="shared" si="9"/>
        <v>44690</v>
      </c>
      <c r="Q39" s="24">
        <f t="shared" si="9"/>
        <v>44721</v>
      </c>
      <c r="R39" s="24">
        <f t="shared" si="9"/>
        <v>44752</v>
      </c>
      <c r="S39" s="24">
        <f t="shared" si="9"/>
        <v>44783</v>
      </c>
      <c r="T39" s="24">
        <f t="shared" si="9"/>
        <v>44814</v>
      </c>
      <c r="U39" s="24">
        <f t="shared" si="9"/>
        <v>44845</v>
      </c>
      <c r="V39" s="24">
        <f t="shared" si="9"/>
        <v>44876</v>
      </c>
      <c r="W39" s="24">
        <f t="shared" si="9"/>
        <v>44907</v>
      </c>
      <c r="X39" s="24">
        <f t="shared" si="9"/>
        <v>44938</v>
      </c>
      <c r="Y39" s="24">
        <f t="shared" si="9"/>
        <v>44969</v>
      </c>
      <c r="Z39" s="24">
        <f t="shared" si="9"/>
        <v>45000</v>
      </c>
      <c r="AA39" s="24">
        <f t="shared" si="9"/>
        <v>45031</v>
      </c>
      <c r="AB39" s="24">
        <f t="shared" si="9"/>
        <v>45062</v>
      </c>
      <c r="AC39" s="24">
        <f t="shared" si="9"/>
        <v>45093</v>
      </c>
      <c r="AD39" s="24">
        <f t="shared" si="9"/>
        <v>45124</v>
      </c>
      <c r="AE39" s="24">
        <f t="shared" si="9"/>
        <v>45155</v>
      </c>
      <c r="AF39" s="24">
        <f t="shared" si="9"/>
        <v>45186</v>
      </c>
      <c r="AG39" s="24">
        <f t="shared" si="9"/>
        <v>45217</v>
      </c>
      <c r="AH39" s="24">
        <f t="shared" si="9"/>
        <v>45248</v>
      </c>
      <c r="AI39" s="24">
        <f t="shared" si="9"/>
        <v>45279</v>
      </c>
      <c r="AJ39" s="24">
        <f t="shared" si="9"/>
        <v>45310</v>
      </c>
      <c r="AK39" s="24">
        <f t="shared" si="9"/>
        <v>45341</v>
      </c>
      <c r="AL39" s="24">
        <f t="shared" si="9"/>
        <v>45372</v>
      </c>
      <c r="AM39" s="24">
        <f t="shared" si="9"/>
        <v>45403</v>
      </c>
      <c r="AN39" s="24">
        <f t="shared" si="9"/>
        <v>45434</v>
      </c>
      <c r="AO39" s="24">
        <f t="shared" si="9"/>
        <v>45465</v>
      </c>
      <c r="AP39" s="24">
        <f t="shared" si="9"/>
        <v>45496</v>
      </c>
      <c r="AQ39" s="24">
        <f t="shared" si="9"/>
        <v>45527</v>
      </c>
      <c r="AR39" s="24">
        <f t="shared" si="9"/>
        <v>45558</v>
      </c>
      <c r="AS39" s="24">
        <f t="shared" si="9"/>
        <v>45589</v>
      </c>
      <c r="AT39" s="24">
        <f t="shared" si="9"/>
        <v>45620</v>
      </c>
      <c r="AU39" s="24">
        <f t="shared" si="9"/>
        <v>45651</v>
      </c>
      <c r="AV39" s="24">
        <f t="shared" si="9"/>
        <v>45682</v>
      </c>
      <c r="AW39" s="24">
        <f t="shared" si="9"/>
        <v>45713</v>
      </c>
      <c r="AX39" s="24">
        <f t="shared" si="9"/>
        <v>45744</v>
      </c>
      <c r="AY39" s="24">
        <f t="shared" si="9"/>
        <v>45775</v>
      </c>
      <c r="AZ39" s="24">
        <f t="shared" si="9"/>
        <v>45806</v>
      </c>
      <c r="BA39" s="24">
        <f t="shared" si="9"/>
        <v>45837</v>
      </c>
      <c r="BB39" s="24">
        <f t="shared" si="9"/>
        <v>45868</v>
      </c>
      <c r="BC39" s="24">
        <f t="shared" si="9"/>
        <v>45899</v>
      </c>
      <c r="BD39" s="24">
        <f t="shared" si="9"/>
        <v>45930</v>
      </c>
    </row>
    <row r="40" spans="1:56" s="159" customFormat="1" x14ac:dyDescent="0.25">
      <c r="A40" s="563">
        <f>A27</f>
        <v>0.99</v>
      </c>
      <c r="B40" s="449">
        <f>$A$40*$C$27*B37*$C$33</f>
        <v>0</v>
      </c>
      <c r="C40" s="449">
        <f t="shared" ref="C40:BD40" si="10">$A$40*$C$27*C37*$C$33</f>
        <v>0</v>
      </c>
      <c r="D40" s="449">
        <f t="shared" si="10"/>
        <v>0</v>
      </c>
      <c r="E40" s="449">
        <f t="shared" si="10"/>
        <v>22275</v>
      </c>
      <c r="F40" s="449">
        <f t="shared" si="10"/>
        <v>24502.5</v>
      </c>
      <c r="G40" s="449">
        <f t="shared" si="10"/>
        <v>26952.75</v>
      </c>
      <c r="H40" s="449">
        <f t="shared" si="10"/>
        <v>29648.025000000001</v>
      </c>
      <c r="I40" s="449">
        <f t="shared" si="10"/>
        <v>32612.827499999999</v>
      </c>
      <c r="J40" s="449">
        <f t="shared" si="10"/>
        <v>35874.110249999998</v>
      </c>
      <c r="K40" s="449">
        <f t="shared" si="10"/>
        <v>39461.521274999999</v>
      </c>
      <c r="L40" s="449">
        <f t="shared" si="10"/>
        <v>43407.673402499997</v>
      </c>
      <c r="M40" s="449">
        <f t="shared" si="10"/>
        <v>47748.440742749997</v>
      </c>
      <c r="N40" s="449">
        <f t="shared" si="10"/>
        <v>52523.284817024993</v>
      </c>
      <c r="O40" s="449">
        <f t="shared" si="10"/>
        <v>57775.613298727498</v>
      </c>
      <c r="P40" s="449">
        <f t="shared" si="10"/>
        <v>63553.174628600245</v>
      </c>
      <c r="Q40" s="449">
        <f t="shared" si="10"/>
        <v>69908.49209146027</v>
      </c>
      <c r="R40" s="449">
        <f t="shared" si="10"/>
        <v>76899.341300606291</v>
      </c>
      <c r="S40" s="449">
        <f t="shared" si="10"/>
        <v>84589.275430666909</v>
      </c>
      <c r="T40" s="449">
        <f t="shared" si="10"/>
        <v>93048.202973733598</v>
      </c>
      <c r="U40" s="449">
        <f t="shared" si="10"/>
        <v>102353.02327110695</v>
      </c>
      <c r="V40" s="449">
        <f t="shared" si="10"/>
        <v>112588.32559821766</v>
      </c>
      <c r="W40" s="449">
        <f t="shared" si="10"/>
        <v>123847.15815803944</v>
      </c>
      <c r="X40" s="449">
        <f t="shared" si="10"/>
        <v>136231.87397384341</v>
      </c>
      <c r="Y40" s="449">
        <f t="shared" si="10"/>
        <v>149855.06137122773</v>
      </c>
      <c r="Z40" s="449">
        <f t="shared" si="10"/>
        <v>164840.5675083505</v>
      </c>
      <c r="AA40" s="449">
        <f t="shared" si="10"/>
        <v>181324.62425918554</v>
      </c>
      <c r="AB40" s="449">
        <f t="shared" si="10"/>
        <v>199457.08668510409</v>
      </c>
      <c r="AC40" s="449">
        <f t="shared" si="10"/>
        <v>219402.79535361452</v>
      </c>
      <c r="AD40" s="449">
        <f t="shared" si="10"/>
        <v>241343.07488897597</v>
      </c>
      <c r="AE40" s="449">
        <f t="shared" si="10"/>
        <v>265477.38237787358</v>
      </c>
      <c r="AF40" s="449">
        <f t="shared" si="10"/>
        <v>292025.12061566097</v>
      </c>
      <c r="AG40" s="449">
        <f t="shared" si="10"/>
        <v>321227.63267722703</v>
      </c>
      <c r="AH40" s="449">
        <f t="shared" si="10"/>
        <v>353350.39594494971</v>
      </c>
      <c r="AI40" s="449">
        <f t="shared" si="10"/>
        <v>388685.43553944468</v>
      </c>
      <c r="AJ40" s="449">
        <f t="shared" si="10"/>
        <v>427553.97909338924</v>
      </c>
      <c r="AK40" s="449">
        <f t="shared" si="10"/>
        <v>470309.37700272811</v>
      </c>
      <c r="AL40" s="449">
        <f t="shared" si="10"/>
        <v>517340.314703001</v>
      </c>
      <c r="AM40" s="449">
        <f t="shared" si="10"/>
        <v>569074.34617330111</v>
      </c>
      <c r="AN40" s="449">
        <f t="shared" si="10"/>
        <v>625981.78079063119</v>
      </c>
      <c r="AO40" s="449">
        <f t="shared" si="10"/>
        <v>688579.95886969438</v>
      </c>
      <c r="AP40" s="449">
        <f t="shared" si="10"/>
        <v>757437.95475666376</v>
      </c>
      <c r="AQ40" s="449">
        <f t="shared" si="10"/>
        <v>833181.75023233029</v>
      </c>
      <c r="AR40" s="449">
        <f t="shared" si="10"/>
        <v>916499.92525556334</v>
      </c>
      <c r="AS40" s="449">
        <f t="shared" si="10"/>
        <v>1008149.9177811197</v>
      </c>
      <c r="AT40" s="449">
        <f t="shared" si="10"/>
        <v>1108964.9095592317</v>
      </c>
      <c r="AU40" s="449">
        <f t="shared" si="10"/>
        <v>1219861.4005151549</v>
      </c>
      <c r="AV40" s="449">
        <f t="shared" si="10"/>
        <v>1341847.5405666705</v>
      </c>
      <c r="AW40" s="449">
        <f t="shared" si="10"/>
        <v>1476032.2946233375</v>
      </c>
      <c r="AX40" s="449">
        <f t="shared" si="10"/>
        <v>1623635.5240856716</v>
      </c>
      <c r="AY40" s="449">
        <f t="shared" si="10"/>
        <v>1785999.0764942386</v>
      </c>
      <c r="AZ40" s="449">
        <f t="shared" si="10"/>
        <v>1964598.9841436625</v>
      </c>
      <c r="BA40" s="449">
        <f t="shared" si="10"/>
        <v>2161058.8825580291</v>
      </c>
      <c r="BB40" s="449">
        <f t="shared" si="10"/>
        <v>2377164.7708138316</v>
      </c>
      <c r="BC40" s="449">
        <f t="shared" si="10"/>
        <v>2614881.2478952152</v>
      </c>
      <c r="BD40" s="449">
        <f t="shared" si="10"/>
        <v>2876369.3726847372</v>
      </c>
    </row>
    <row r="41" spans="1:56" s="159" customFormat="1" x14ac:dyDescent="0.25">
      <c r="A41" s="563">
        <f t="shared" ref="A41:A45" si="11">A28</f>
        <v>1.99</v>
      </c>
      <c r="B41" s="449">
        <f>$A$41*$C$28*B37*$C$33</f>
        <v>0</v>
      </c>
      <c r="C41" s="449">
        <f t="shared" ref="C41:BD41" si="12">$A$41*$C$28*C37*$C$33</f>
        <v>0</v>
      </c>
      <c r="D41" s="449">
        <f t="shared" si="12"/>
        <v>0</v>
      </c>
      <c r="E41" s="449">
        <f t="shared" si="12"/>
        <v>17910</v>
      </c>
      <c r="F41" s="449">
        <f t="shared" si="12"/>
        <v>19701</v>
      </c>
      <c r="G41" s="449">
        <f t="shared" si="12"/>
        <v>21671.100000000002</v>
      </c>
      <c r="H41" s="449">
        <f t="shared" si="12"/>
        <v>23838.210000000003</v>
      </c>
      <c r="I41" s="449">
        <f t="shared" si="12"/>
        <v>26222.031000000003</v>
      </c>
      <c r="J41" s="449">
        <f t="shared" si="12"/>
        <v>28844.234100000001</v>
      </c>
      <c r="K41" s="449">
        <f t="shared" si="12"/>
        <v>31728.657510000001</v>
      </c>
      <c r="L41" s="449">
        <f t="shared" si="12"/>
        <v>34901.523261000002</v>
      </c>
      <c r="M41" s="449">
        <f t="shared" si="12"/>
        <v>38391.675587099999</v>
      </c>
      <c r="N41" s="449">
        <f t="shared" si="12"/>
        <v>42230.843145809995</v>
      </c>
      <c r="O41" s="449">
        <f t="shared" si="12"/>
        <v>46453.927460391002</v>
      </c>
      <c r="P41" s="449">
        <f t="shared" si="12"/>
        <v>51099.3202064301</v>
      </c>
      <c r="Q41" s="449">
        <f t="shared" si="12"/>
        <v>56209.252227073106</v>
      </c>
      <c r="R41" s="449">
        <f t="shared" si="12"/>
        <v>61830.177449780414</v>
      </c>
      <c r="S41" s="449">
        <f t="shared" si="12"/>
        <v>68013.195194758446</v>
      </c>
      <c r="T41" s="449">
        <f t="shared" si="12"/>
        <v>74814.51471423429</v>
      </c>
      <c r="U41" s="449">
        <f t="shared" si="12"/>
        <v>82295.966185657715</v>
      </c>
      <c r="V41" s="449">
        <f t="shared" si="12"/>
        <v>90525.562804223504</v>
      </c>
      <c r="W41" s="449">
        <f t="shared" si="12"/>
        <v>99578.119084645863</v>
      </c>
      <c r="X41" s="449">
        <f t="shared" si="12"/>
        <v>109535.93099311045</v>
      </c>
      <c r="Y41" s="449">
        <f t="shared" si="12"/>
        <v>120489.52409242149</v>
      </c>
      <c r="Z41" s="449">
        <f t="shared" si="12"/>
        <v>132538.47650166365</v>
      </c>
      <c r="AA41" s="449">
        <f t="shared" si="12"/>
        <v>145792.32415182999</v>
      </c>
      <c r="AB41" s="449">
        <f t="shared" si="12"/>
        <v>160371.556567013</v>
      </c>
      <c r="AC41" s="449">
        <f t="shared" si="12"/>
        <v>176408.7122237143</v>
      </c>
      <c r="AD41" s="449">
        <f t="shared" si="12"/>
        <v>194049.58344608574</v>
      </c>
      <c r="AE41" s="449">
        <f t="shared" si="12"/>
        <v>213454.54179069435</v>
      </c>
      <c r="AF41" s="449">
        <f t="shared" si="12"/>
        <v>234799.99596976378</v>
      </c>
      <c r="AG41" s="449">
        <f t="shared" si="12"/>
        <v>258279.99556674014</v>
      </c>
      <c r="AH41" s="449">
        <f t="shared" si="12"/>
        <v>284107.99512341415</v>
      </c>
      <c r="AI41" s="449">
        <f t="shared" si="12"/>
        <v>312518.79463575553</v>
      </c>
      <c r="AJ41" s="449">
        <f t="shared" si="12"/>
        <v>343770.67409933114</v>
      </c>
      <c r="AK41" s="449">
        <f t="shared" si="12"/>
        <v>378147.74150926422</v>
      </c>
      <c r="AL41" s="449">
        <f t="shared" si="12"/>
        <v>415962.51566019072</v>
      </c>
      <c r="AM41" s="449">
        <f t="shared" si="12"/>
        <v>457558.76722620981</v>
      </c>
      <c r="AN41" s="449">
        <f t="shared" si="12"/>
        <v>503314.64394883078</v>
      </c>
      <c r="AO41" s="449">
        <f t="shared" si="12"/>
        <v>553646.10834371392</v>
      </c>
      <c r="AP41" s="449">
        <f t="shared" si="12"/>
        <v>609010.71917808522</v>
      </c>
      <c r="AQ41" s="449">
        <f t="shared" si="12"/>
        <v>669911.79109589383</v>
      </c>
      <c r="AR41" s="449">
        <f t="shared" si="12"/>
        <v>736902.97020548326</v>
      </c>
      <c r="AS41" s="449">
        <f t="shared" si="12"/>
        <v>810593.26722603163</v>
      </c>
      <c r="AT41" s="449">
        <f t="shared" si="12"/>
        <v>891652.59394863481</v>
      </c>
      <c r="AU41" s="449">
        <f t="shared" si="12"/>
        <v>980817.85334349843</v>
      </c>
      <c r="AV41" s="449">
        <f t="shared" si="12"/>
        <v>1078899.6386778483</v>
      </c>
      <c r="AW41" s="449">
        <f t="shared" si="12"/>
        <v>1186789.602545633</v>
      </c>
      <c r="AX41" s="449">
        <f t="shared" si="12"/>
        <v>1305468.5628001967</v>
      </c>
      <c r="AY41" s="449">
        <f t="shared" si="12"/>
        <v>1436015.4190802162</v>
      </c>
      <c r="AZ41" s="449">
        <f t="shared" si="12"/>
        <v>1579616.9609882378</v>
      </c>
      <c r="BA41" s="449">
        <f t="shared" si="12"/>
        <v>1737578.6570870618</v>
      </c>
      <c r="BB41" s="449">
        <f t="shared" si="12"/>
        <v>1911336.522795768</v>
      </c>
      <c r="BC41" s="449">
        <f t="shared" si="12"/>
        <v>2102470.1750753447</v>
      </c>
      <c r="BD41" s="449">
        <f t="shared" si="12"/>
        <v>2312717.1925828797</v>
      </c>
    </row>
    <row r="42" spans="1:56" s="159" customFormat="1" x14ac:dyDescent="0.25">
      <c r="A42" s="563">
        <f t="shared" si="11"/>
        <v>2.99</v>
      </c>
      <c r="B42" s="449">
        <f>$A$42*$C$29*B37*$C$33</f>
        <v>0</v>
      </c>
      <c r="C42" s="449">
        <f t="shared" ref="C42:BD42" si="13">$A$42*$C$29*C37*$C$33</f>
        <v>0</v>
      </c>
      <c r="D42" s="449">
        <f t="shared" si="13"/>
        <v>0</v>
      </c>
      <c r="E42" s="449">
        <f t="shared" si="13"/>
        <v>20182.5</v>
      </c>
      <c r="F42" s="449">
        <f t="shared" si="13"/>
        <v>22200.75</v>
      </c>
      <c r="G42" s="449">
        <f t="shared" si="13"/>
        <v>24420.825000000001</v>
      </c>
      <c r="H42" s="449">
        <f t="shared" si="13"/>
        <v>26862.907500000001</v>
      </c>
      <c r="I42" s="449">
        <f t="shared" si="13"/>
        <v>29549.198250000001</v>
      </c>
      <c r="J42" s="449">
        <f t="shared" si="13"/>
        <v>32504.118074999998</v>
      </c>
      <c r="K42" s="449">
        <f t="shared" si="13"/>
        <v>35754.529882499999</v>
      </c>
      <c r="L42" s="449">
        <f t="shared" si="13"/>
        <v>39329.982870749998</v>
      </c>
      <c r="M42" s="449">
        <f t="shared" si="13"/>
        <v>43262.981157824994</v>
      </c>
      <c r="N42" s="449">
        <f t="shared" si="13"/>
        <v>47589.279273607499</v>
      </c>
      <c r="O42" s="449">
        <f t="shared" si="13"/>
        <v>52348.207200968252</v>
      </c>
      <c r="P42" s="449">
        <f t="shared" si="13"/>
        <v>57583.027921065077</v>
      </c>
      <c r="Q42" s="449">
        <f t="shared" si="13"/>
        <v>63341.330713171577</v>
      </c>
      <c r="R42" s="449">
        <f t="shared" si="13"/>
        <v>69675.463784488733</v>
      </c>
      <c r="S42" s="449">
        <f t="shared" si="13"/>
        <v>76643.0101629376</v>
      </c>
      <c r="T42" s="449">
        <f t="shared" si="13"/>
        <v>84307.311179231358</v>
      </c>
      <c r="U42" s="449">
        <f t="shared" si="13"/>
        <v>92738.04229715449</v>
      </c>
      <c r="V42" s="449">
        <f t="shared" si="13"/>
        <v>102011.84652686995</v>
      </c>
      <c r="W42" s="449">
        <f t="shared" si="13"/>
        <v>112213.03117955696</v>
      </c>
      <c r="X42" s="449">
        <f t="shared" si="13"/>
        <v>123434.33429751266</v>
      </c>
      <c r="Y42" s="449">
        <f t="shared" si="13"/>
        <v>135777.76772726391</v>
      </c>
      <c r="Z42" s="449">
        <f t="shared" si="13"/>
        <v>149355.5444999903</v>
      </c>
      <c r="AA42" s="449">
        <f t="shared" si="13"/>
        <v>164291.09894998933</v>
      </c>
      <c r="AB42" s="449">
        <f t="shared" si="13"/>
        <v>180720.20884498826</v>
      </c>
      <c r="AC42" s="449">
        <f t="shared" si="13"/>
        <v>198792.2297294871</v>
      </c>
      <c r="AD42" s="449">
        <f t="shared" si="13"/>
        <v>218671.45270243581</v>
      </c>
      <c r="AE42" s="449">
        <f t="shared" si="13"/>
        <v>240538.59797267942</v>
      </c>
      <c r="AF42" s="449">
        <f t="shared" si="13"/>
        <v>264592.45776994736</v>
      </c>
      <c r="AG42" s="449">
        <f t="shared" si="13"/>
        <v>291051.7035469421</v>
      </c>
      <c r="AH42" s="449">
        <f t="shared" si="13"/>
        <v>320156.87390163628</v>
      </c>
      <c r="AI42" s="449">
        <f t="shared" si="13"/>
        <v>352172.56129179988</v>
      </c>
      <c r="AJ42" s="449">
        <f t="shared" si="13"/>
        <v>387389.81742097996</v>
      </c>
      <c r="AK42" s="449">
        <f t="shared" si="13"/>
        <v>426128.7991630779</v>
      </c>
      <c r="AL42" s="449">
        <f t="shared" si="13"/>
        <v>468741.67907938577</v>
      </c>
      <c r="AM42" s="449">
        <f t="shared" si="13"/>
        <v>515615.8469873243</v>
      </c>
      <c r="AN42" s="449">
        <f t="shared" si="13"/>
        <v>567177.43168605678</v>
      </c>
      <c r="AO42" s="449">
        <f t="shared" si="13"/>
        <v>623895.1748546625</v>
      </c>
      <c r="AP42" s="449">
        <f t="shared" si="13"/>
        <v>686284.69234012871</v>
      </c>
      <c r="AQ42" s="449">
        <f t="shared" si="13"/>
        <v>754913.1615741417</v>
      </c>
      <c r="AR42" s="449">
        <f t="shared" si="13"/>
        <v>830404.47773155593</v>
      </c>
      <c r="AS42" s="449">
        <f t="shared" si="13"/>
        <v>913444.92550471157</v>
      </c>
      <c r="AT42" s="449">
        <f t="shared" si="13"/>
        <v>1004789.4180551827</v>
      </c>
      <c r="AU42" s="449">
        <f t="shared" si="13"/>
        <v>1105268.359860701</v>
      </c>
      <c r="AV42" s="449">
        <f t="shared" si="13"/>
        <v>1215795.1958467714</v>
      </c>
      <c r="AW42" s="449">
        <f t="shared" si="13"/>
        <v>1337374.7154314483</v>
      </c>
      <c r="AX42" s="449">
        <f t="shared" si="13"/>
        <v>1471112.1869745934</v>
      </c>
      <c r="AY42" s="449">
        <f t="shared" si="13"/>
        <v>1618223.4056720526</v>
      </c>
      <c r="AZ42" s="449">
        <f t="shared" si="13"/>
        <v>1780045.7462392577</v>
      </c>
      <c r="BA42" s="449">
        <f t="shared" si="13"/>
        <v>1958050.3208631838</v>
      </c>
      <c r="BB42" s="449">
        <f t="shared" si="13"/>
        <v>2153855.3529495024</v>
      </c>
      <c r="BC42" s="449">
        <f t="shared" si="13"/>
        <v>2369240.8882444524</v>
      </c>
      <c r="BD42" s="449">
        <f t="shared" si="13"/>
        <v>2606164.9770688983</v>
      </c>
    </row>
    <row r="43" spans="1:56" s="159" customFormat="1" x14ac:dyDescent="0.25">
      <c r="A43" s="563">
        <f t="shared" si="11"/>
        <v>4.99</v>
      </c>
      <c r="B43" s="449">
        <f>$A$43*$C$30*$C$33*B37</f>
        <v>0</v>
      </c>
      <c r="C43" s="449">
        <f t="shared" ref="C43:BD43" si="14">$A$43*$C$30*$C$33*C37</f>
        <v>0</v>
      </c>
      <c r="D43" s="449">
        <f t="shared" si="14"/>
        <v>0</v>
      </c>
      <c r="E43" s="449">
        <f t="shared" si="14"/>
        <v>22455.000000000004</v>
      </c>
      <c r="F43" s="449">
        <f t="shared" si="14"/>
        <v>24700.500000000004</v>
      </c>
      <c r="G43" s="449">
        <f t="shared" si="14"/>
        <v>27170.550000000003</v>
      </c>
      <c r="H43" s="449">
        <f t="shared" si="14"/>
        <v>29887.605000000003</v>
      </c>
      <c r="I43" s="449">
        <f t="shared" si="14"/>
        <v>32876.365500000007</v>
      </c>
      <c r="J43" s="449">
        <f t="shared" si="14"/>
        <v>36164.002050000003</v>
      </c>
      <c r="K43" s="449">
        <f t="shared" si="14"/>
        <v>39780.402255000001</v>
      </c>
      <c r="L43" s="449">
        <f t="shared" si="14"/>
        <v>43758.442480500002</v>
      </c>
      <c r="M43" s="449">
        <f t="shared" si="14"/>
        <v>48134.286728550003</v>
      </c>
      <c r="N43" s="449">
        <f t="shared" si="14"/>
        <v>52947.715401405003</v>
      </c>
      <c r="O43" s="449">
        <f t="shared" si="14"/>
        <v>58242.486941545503</v>
      </c>
      <c r="P43" s="449">
        <f t="shared" si="14"/>
        <v>64066.735635700054</v>
      </c>
      <c r="Q43" s="449">
        <f t="shared" si="14"/>
        <v>70473.409199270056</v>
      </c>
      <c r="R43" s="449">
        <f t="shared" si="14"/>
        <v>77520.750119197051</v>
      </c>
      <c r="S43" s="449">
        <f t="shared" si="14"/>
        <v>85272.825131116755</v>
      </c>
      <c r="T43" s="449">
        <f t="shared" si="14"/>
        <v>93800.107644228425</v>
      </c>
      <c r="U43" s="449">
        <f t="shared" si="14"/>
        <v>103180.11840865127</v>
      </c>
      <c r="V43" s="449">
        <f t="shared" si="14"/>
        <v>113498.13024951641</v>
      </c>
      <c r="W43" s="449">
        <f t="shared" si="14"/>
        <v>124847.94327446805</v>
      </c>
      <c r="X43" s="449">
        <f t="shared" si="14"/>
        <v>137332.73760191488</v>
      </c>
      <c r="Y43" s="449">
        <f t="shared" si="14"/>
        <v>151066.01136210634</v>
      </c>
      <c r="Z43" s="449">
        <f t="shared" si="14"/>
        <v>166172.61249831697</v>
      </c>
      <c r="AA43" s="449">
        <f t="shared" si="14"/>
        <v>182789.87374814868</v>
      </c>
      <c r="AB43" s="449">
        <f t="shared" si="14"/>
        <v>201068.86112296354</v>
      </c>
      <c r="AC43" s="449">
        <f t="shared" si="14"/>
        <v>221175.74723525991</v>
      </c>
      <c r="AD43" s="449">
        <f t="shared" si="14"/>
        <v>243293.32195878591</v>
      </c>
      <c r="AE43" s="449">
        <f t="shared" si="14"/>
        <v>267622.65415466455</v>
      </c>
      <c r="AF43" s="449">
        <f t="shared" si="14"/>
        <v>294384.91957013099</v>
      </c>
      <c r="AG43" s="449">
        <f t="shared" si="14"/>
        <v>323823.41152714408</v>
      </c>
      <c r="AH43" s="449">
        <f t="shared" si="14"/>
        <v>356205.75267985847</v>
      </c>
      <c r="AI43" s="449">
        <f t="shared" si="14"/>
        <v>391826.32794784429</v>
      </c>
      <c r="AJ43" s="449">
        <f t="shared" si="14"/>
        <v>431008.96074262878</v>
      </c>
      <c r="AK43" s="449">
        <f t="shared" si="14"/>
        <v>474109.85681689164</v>
      </c>
      <c r="AL43" s="449">
        <f t="shared" si="14"/>
        <v>521520.84249858087</v>
      </c>
      <c r="AM43" s="449">
        <f t="shared" si="14"/>
        <v>573672.92674843897</v>
      </c>
      <c r="AN43" s="449">
        <f t="shared" si="14"/>
        <v>631040.21942328289</v>
      </c>
      <c r="AO43" s="449">
        <f t="shared" si="14"/>
        <v>694144.2413656112</v>
      </c>
      <c r="AP43" s="449">
        <f t="shared" si="14"/>
        <v>763558.66550217231</v>
      </c>
      <c r="AQ43" s="449">
        <f t="shared" si="14"/>
        <v>839914.53205238958</v>
      </c>
      <c r="AR43" s="449">
        <f t="shared" si="14"/>
        <v>923905.98525762861</v>
      </c>
      <c r="AS43" s="449">
        <f t="shared" si="14"/>
        <v>1016296.5837833915</v>
      </c>
      <c r="AT43" s="449">
        <f t="shared" si="14"/>
        <v>1117926.2421617308</v>
      </c>
      <c r="AU43" s="449">
        <f t="shared" si="14"/>
        <v>1229718.8663779038</v>
      </c>
      <c r="AV43" s="449">
        <f t="shared" si="14"/>
        <v>1352690.7530156944</v>
      </c>
      <c r="AW43" s="449">
        <f t="shared" si="14"/>
        <v>1487959.8283172636</v>
      </c>
      <c r="AX43" s="449">
        <f t="shared" si="14"/>
        <v>1636755.8111489902</v>
      </c>
      <c r="AY43" s="449">
        <f t="shared" si="14"/>
        <v>1800431.3922638891</v>
      </c>
      <c r="AZ43" s="449">
        <f t="shared" si="14"/>
        <v>1980474.5314902782</v>
      </c>
      <c r="BA43" s="449">
        <f t="shared" si="14"/>
        <v>2178521.9846393061</v>
      </c>
      <c r="BB43" s="449">
        <f t="shared" si="14"/>
        <v>2396374.1831032368</v>
      </c>
      <c r="BC43" s="449">
        <f t="shared" si="14"/>
        <v>2636011.6014135606</v>
      </c>
      <c r="BD43" s="449">
        <f t="shared" si="14"/>
        <v>2899612.7615549173</v>
      </c>
    </row>
    <row r="44" spans="1:56" s="159" customFormat="1" x14ac:dyDescent="0.25">
      <c r="A44" s="563">
        <f t="shared" si="11"/>
        <v>9.99</v>
      </c>
      <c r="B44" s="449">
        <f>$A$44*$C$31*B37*$C$33</f>
        <v>0</v>
      </c>
      <c r="C44" s="449">
        <f t="shared" ref="C44:BD44" si="15">$A$44*$C$31*C37*$C$33</f>
        <v>0</v>
      </c>
      <c r="D44" s="449">
        <f t="shared" si="15"/>
        <v>0</v>
      </c>
      <c r="E44" s="449">
        <f t="shared" si="15"/>
        <v>17982</v>
      </c>
      <c r="F44" s="449">
        <f t="shared" si="15"/>
        <v>19780.2</v>
      </c>
      <c r="G44" s="449">
        <f t="shared" si="15"/>
        <v>21758.22</v>
      </c>
      <c r="H44" s="449">
        <f t="shared" si="15"/>
        <v>23934.042000000001</v>
      </c>
      <c r="I44" s="449">
        <f t="shared" si="15"/>
        <v>26327.446200000002</v>
      </c>
      <c r="J44" s="449">
        <f t="shared" si="15"/>
        <v>28960.19082</v>
      </c>
      <c r="K44" s="449">
        <f t="shared" si="15"/>
        <v>31856.209901999999</v>
      </c>
      <c r="L44" s="449">
        <f t="shared" si="15"/>
        <v>35041.8308922</v>
      </c>
      <c r="M44" s="449">
        <f t="shared" si="15"/>
        <v>38546.013981420001</v>
      </c>
      <c r="N44" s="449">
        <f t="shared" si="15"/>
        <v>42400.615379561998</v>
      </c>
      <c r="O44" s="449">
        <f t="shared" si="15"/>
        <v>46640.676917518198</v>
      </c>
      <c r="P44" s="449">
        <f t="shared" si="15"/>
        <v>51304.744609270019</v>
      </c>
      <c r="Q44" s="449">
        <f t="shared" si="15"/>
        <v>56435.219070197018</v>
      </c>
      <c r="R44" s="449">
        <f t="shared" si="15"/>
        <v>62078.740977216716</v>
      </c>
      <c r="S44" s="449">
        <f t="shared" si="15"/>
        <v>68286.615074938381</v>
      </c>
      <c r="T44" s="449">
        <f t="shared" si="15"/>
        <v>75115.276582432212</v>
      </c>
      <c r="U44" s="449">
        <f t="shared" si="15"/>
        <v>82626.804240675439</v>
      </c>
      <c r="V44" s="449">
        <f t="shared" si="15"/>
        <v>90889.484664742995</v>
      </c>
      <c r="W44" s="449">
        <f t="shared" si="15"/>
        <v>99978.433131217302</v>
      </c>
      <c r="X44" s="449">
        <f t="shared" si="15"/>
        <v>109976.27644433903</v>
      </c>
      <c r="Y44" s="449">
        <f t="shared" si="15"/>
        <v>120973.90408877292</v>
      </c>
      <c r="Z44" s="449">
        <f t="shared" si="15"/>
        <v>133071.29449765023</v>
      </c>
      <c r="AA44" s="449">
        <f t="shared" si="15"/>
        <v>146378.42394741526</v>
      </c>
      <c r="AB44" s="449">
        <f t="shared" si="15"/>
        <v>161016.26634215677</v>
      </c>
      <c r="AC44" s="449">
        <f t="shared" si="15"/>
        <v>177117.89297637244</v>
      </c>
      <c r="AD44" s="449">
        <f t="shared" si="15"/>
        <v>194829.68227400971</v>
      </c>
      <c r="AE44" s="449">
        <f t="shared" si="15"/>
        <v>214312.65050141071</v>
      </c>
      <c r="AF44" s="449">
        <f t="shared" si="15"/>
        <v>235743.91555155176</v>
      </c>
      <c r="AG44" s="449">
        <f t="shared" si="15"/>
        <v>259318.30710670692</v>
      </c>
      <c r="AH44" s="449">
        <f t="shared" si="15"/>
        <v>285250.13781737757</v>
      </c>
      <c r="AI44" s="449">
        <f t="shared" si="15"/>
        <v>313775.15159911534</v>
      </c>
      <c r="AJ44" s="449">
        <f t="shared" si="15"/>
        <v>345152.66675902694</v>
      </c>
      <c r="AK44" s="449">
        <f t="shared" si="15"/>
        <v>379667.93343492958</v>
      </c>
      <c r="AL44" s="449">
        <f t="shared" si="15"/>
        <v>417634.7267784226</v>
      </c>
      <c r="AM44" s="449">
        <f t="shared" si="15"/>
        <v>459398.19945626491</v>
      </c>
      <c r="AN44" s="449">
        <f t="shared" si="15"/>
        <v>505338.01940189139</v>
      </c>
      <c r="AO44" s="449">
        <f t="shared" si="15"/>
        <v>555871.8213420806</v>
      </c>
      <c r="AP44" s="449">
        <f t="shared" si="15"/>
        <v>611459.00347628864</v>
      </c>
      <c r="AQ44" s="449">
        <f t="shared" si="15"/>
        <v>672604.9038239175</v>
      </c>
      <c r="AR44" s="449">
        <f t="shared" si="15"/>
        <v>739865.39420630934</v>
      </c>
      <c r="AS44" s="449">
        <f t="shared" si="15"/>
        <v>813851.93362694036</v>
      </c>
      <c r="AT44" s="449">
        <f t="shared" si="15"/>
        <v>895237.12698963436</v>
      </c>
      <c r="AU44" s="449">
        <f t="shared" si="15"/>
        <v>984760.83968859783</v>
      </c>
      <c r="AV44" s="449">
        <f t="shared" si="15"/>
        <v>1083236.9236574578</v>
      </c>
      <c r="AW44" s="449">
        <f t="shared" si="15"/>
        <v>1191560.6160232034</v>
      </c>
      <c r="AX44" s="449">
        <f t="shared" si="15"/>
        <v>1310716.6776255239</v>
      </c>
      <c r="AY44" s="449">
        <f t="shared" si="15"/>
        <v>1441788.3453880763</v>
      </c>
      <c r="AZ44" s="449">
        <f t="shared" si="15"/>
        <v>1585967.1799268839</v>
      </c>
      <c r="BA44" s="449">
        <f t="shared" si="15"/>
        <v>1744563.8979195724</v>
      </c>
      <c r="BB44" s="449">
        <f t="shared" si="15"/>
        <v>1919020.2877115298</v>
      </c>
      <c r="BC44" s="449">
        <f t="shared" si="15"/>
        <v>2110922.3164826827</v>
      </c>
      <c r="BD44" s="449">
        <f t="shared" si="15"/>
        <v>2322014.5481309514</v>
      </c>
    </row>
    <row r="45" spans="1:56" s="159" customFormat="1" x14ac:dyDescent="0.25">
      <c r="A45" s="563">
        <f t="shared" si="11"/>
        <v>19.989999999999998</v>
      </c>
      <c r="B45" s="449">
        <f>B37*$A$45*$C$33*$C$32</f>
        <v>0</v>
      </c>
      <c r="C45" s="449">
        <f t="shared" ref="C45:BD45" si="16">C37*$A$45*$C$33*$C$32</f>
        <v>0</v>
      </c>
      <c r="D45" s="449">
        <f t="shared" si="16"/>
        <v>0</v>
      </c>
      <c r="E45" s="449">
        <f t="shared" si="16"/>
        <v>8995.4999999999982</v>
      </c>
      <c r="F45" s="449">
        <f t="shared" si="16"/>
        <v>9895.0499999999993</v>
      </c>
      <c r="G45" s="449">
        <f t="shared" si="16"/>
        <v>10884.555</v>
      </c>
      <c r="H45" s="449">
        <f t="shared" si="16"/>
        <v>11973.010499999999</v>
      </c>
      <c r="I45" s="449">
        <f t="shared" si="16"/>
        <v>13170.311549999999</v>
      </c>
      <c r="J45" s="449">
        <f t="shared" si="16"/>
        <v>14487.342704999999</v>
      </c>
      <c r="K45" s="449">
        <f t="shared" si="16"/>
        <v>15936.076975499996</v>
      </c>
      <c r="L45" s="449">
        <f t="shared" si="16"/>
        <v>17529.684673049996</v>
      </c>
      <c r="M45" s="449">
        <f t="shared" si="16"/>
        <v>19282.653140354996</v>
      </c>
      <c r="N45" s="449">
        <f t="shared" si="16"/>
        <v>21210.918454390496</v>
      </c>
      <c r="O45" s="449">
        <f t="shared" si="16"/>
        <v>23332.010299829548</v>
      </c>
      <c r="P45" s="449">
        <f t="shared" si="16"/>
        <v>25665.2113298125</v>
      </c>
      <c r="Q45" s="449">
        <f t="shared" si="16"/>
        <v>28231.732462793752</v>
      </c>
      <c r="R45" s="449">
        <f t="shared" si="16"/>
        <v>31054.905709073126</v>
      </c>
      <c r="S45" s="449">
        <f t="shared" si="16"/>
        <v>34160.396279980436</v>
      </c>
      <c r="T45" s="449">
        <f t="shared" si="16"/>
        <v>37576.435907978477</v>
      </c>
      <c r="U45" s="449">
        <f t="shared" si="16"/>
        <v>41334.079498776322</v>
      </c>
      <c r="V45" s="449">
        <f t="shared" si="16"/>
        <v>45467.487448653963</v>
      </c>
      <c r="W45" s="449">
        <f t="shared" si="16"/>
        <v>50014.236193519355</v>
      </c>
      <c r="X45" s="449">
        <f t="shared" si="16"/>
        <v>55015.659812871301</v>
      </c>
      <c r="Y45" s="449">
        <f t="shared" si="16"/>
        <v>60517.225794158418</v>
      </c>
      <c r="Z45" s="449">
        <f t="shared" si="16"/>
        <v>66568.948373574269</v>
      </c>
      <c r="AA45" s="449">
        <f t="shared" si="16"/>
        <v>73225.843210931693</v>
      </c>
      <c r="AB45" s="449">
        <f t="shared" si="16"/>
        <v>80548.427532024856</v>
      </c>
      <c r="AC45" s="449">
        <f t="shared" si="16"/>
        <v>88603.270285227351</v>
      </c>
      <c r="AD45" s="449">
        <f t="shared" si="16"/>
        <v>97463.597313750084</v>
      </c>
      <c r="AE45" s="449">
        <f t="shared" si="16"/>
        <v>107209.95704512511</v>
      </c>
      <c r="AF45" s="449">
        <f t="shared" si="16"/>
        <v>117930.95274963762</v>
      </c>
      <c r="AG45" s="449">
        <f t="shared" si="16"/>
        <v>129724.04802460138</v>
      </c>
      <c r="AH45" s="449">
        <f t="shared" si="16"/>
        <v>142696.4528270615</v>
      </c>
      <c r="AI45" s="449">
        <f t="shared" si="16"/>
        <v>156966.09810976766</v>
      </c>
      <c r="AJ45" s="449">
        <f t="shared" si="16"/>
        <v>172662.70792074446</v>
      </c>
      <c r="AK45" s="449">
        <f t="shared" si="16"/>
        <v>189928.97871281888</v>
      </c>
      <c r="AL45" s="449">
        <f t="shared" si="16"/>
        <v>208921.8765841008</v>
      </c>
      <c r="AM45" s="449">
        <f t="shared" si="16"/>
        <v>229814.06424251088</v>
      </c>
      <c r="AN45" s="449">
        <f t="shared" si="16"/>
        <v>252795.47066676198</v>
      </c>
      <c r="AO45" s="449">
        <f t="shared" si="16"/>
        <v>278075.01773343817</v>
      </c>
      <c r="AP45" s="449">
        <f t="shared" si="16"/>
        <v>305882.51950678194</v>
      </c>
      <c r="AQ45" s="449">
        <f t="shared" si="16"/>
        <v>336470.77145746024</v>
      </c>
      <c r="AR45" s="449">
        <f t="shared" si="16"/>
        <v>370117.84860320628</v>
      </c>
      <c r="AS45" s="449">
        <f t="shared" si="16"/>
        <v>407129.6334635269</v>
      </c>
      <c r="AT45" s="449">
        <f t="shared" si="16"/>
        <v>447842.59680987964</v>
      </c>
      <c r="AU45" s="449">
        <f t="shared" si="16"/>
        <v>492626.85649086762</v>
      </c>
      <c r="AV45" s="449">
        <f t="shared" si="16"/>
        <v>541889.5421399544</v>
      </c>
      <c r="AW45" s="449">
        <f t="shared" si="16"/>
        <v>596078.49635394989</v>
      </c>
      <c r="AX45" s="449">
        <f t="shared" si="16"/>
        <v>655686.34598934487</v>
      </c>
      <c r="AY45" s="449">
        <f t="shared" si="16"/>
        <v>721254.98058827943</v>
      </c>
      <c r="AZ45" s="449">
        <f t="shared" si="16"/>
        <v>793380.47864710737</v>
      </c>
      <c r="BA45" s="449">
        <f t="shared" si="16"/>
        <v>872718.52651181805</v>
      </c>
      <c r="BB45" s="449">
        <f t="shared" si="16"/>
        <v>959990.3791629998</v>
      </c>
      <c r="BC45" s="449">
        <f t="shared" si="16"/>
        <v>1055989.4170792999</v>
      </c>
      <c r="BD45" s="449">
        <f t="shared" si="16"/>
        <v>1161588.3587872302</v>
      </c>
    </row>
    <row r="46" spans="1:56" s="564" customFormat="1" x14ac:dyDescent="0.25">
      <c r="A46" s="564" t="s">
        <v>235</v>
      </c>
      <c r="B46" s="565">
        <f>SUM(B40:B45)</f>
        <v>0</v>
      </c>
      <c r="C46" s="565">
        <f t="shared" ref="C46:BD46" si="17">SUM(C40:C45)</f>
        <v>0</v>
      </c>
      <c r="D46" s="565">
        <f t="shared" si="17"/>
        <v>0</v>
      </c>
      <c r="E46" s="565">
        <f t="shared" si="17"/>
        <v>109800</v>
      </c>
      <c r="F46" s="565">
        <f t="shared" si="17"/>
        <v>120780</v>
      </c>
      <c r="G46" s="565">
        <f t="shared" si="17"/>
        <v>132858</v>
      </c>
      <c r="H46" s="565">
        <f t="shared" si="17"/>
        <v>146143.80000000002</v>
      </c>
      <c r="I46" s="565">
        <f t="shared" si="17"/>
        <v>160758.18</v>
      </c>
      <c r="J46" s="565">
        <f t="shared" si="17"/>
        <v>176833.99799999999</v>
      </c>
      <c r="K46" s="565">
        <f t="shared" si="17"/>
        <v>194517.39780000001</v>
      </c>
      <c r="L46" s="565">
        <f t="shared" si="17"/>
        <v>213969.13757999998</v>
      </c>
      <c r="M46" s="565">
        <f t="shared" si="17"/>
        <v>235366.05133799996</v>
      </c>
      <c r="N46" s="565">
        <f t="shared" si="17"/>
        <v>258902.65647179997</v>
      </c>
      <c r="O46" s="565">
        <f t="shared" si="17"/>
        <v>284792.92211898003</v>
      </c>
      <c r="P46" s="565">
        <f t="shared" si="17"/>
        <v>313272.21433087799</v>
      </c>
      <c r="Q46" s="565">
        <f t="shared" si="17"/>
        <v>344599.43576396577</v>
      </c>
      <c r="R46" s="565">
        <f t="shared" si="17"/>
        <v>379059.37934036233</v>
      </c>
      <c r="S46" s="565">
        <f t="shared" si="17"/>
        <v>416965.31727439852</v>
      </c>
      <c r="T46" s="565">
        <f t="shared" si="17"/>
        <v>458661.84900183836</v>
      </c>
      <c r="U46" s="565">
        <f t="shared" si="17"/>
        <v>504528.03390202217</v>
      </c>
      <c r="V46" s="565">
        <f t="shared" si="17"/>
        <v>554980.8372922244</v>
      </c>
      <c r="W46" s="565">
        <f t="shared" si="17"/>
        <v>610478.92102144693</v>
      </c>
      <c r="X46" s="565">
        <f t="shared" si="17"/>
        <v>671526.81312359171</v>
      </c>
      <c r="Y46" s="565">
        <f t="shared" si="17"/>
        <v>738679.49443595088</v>
      </c>
      <c r="Z46" s="565">
        <f t="shared" si="17"/>
        <v>812547.44387954602</v>
      </c>
      <c r="AA46" s="565">
        <f t="shared" si="17"/>
        <v>893802.18826750037</v>
      </c>
      <c r="AB46" s="565">
        <f t="shared" si="17"/>
        <v>983182.40709425067</v>
      </c>
      <c r="AC46" s="565">
        <f t="shared" si="17"/>
        <v>1081500.6478036756</v>
      </c>
      <c r="AD46" s="565">
        <f t="shared" si="17"/>
        <v>1189650.7125840432</v>
      </c>
      <c r="AE46" s="565">
        <f t="shared" si="17"/>
        <v>1308615.7838424477</v>
      </c>
      <c r="AF46" s="565">
        <f t="shared" si="17"/>
        <v>1439477.3622266925</v>
      </c>
      <c r="AG46" s="565">
        <f t="shared" si="17"/>
        <v>1583425.0984493617</v>
      </c>
      <c r="AH46" s="565">
        <f t="shared" si="17"/>
        <v>1741767.6082942979</v>
      </c>
      <c r="AI46" s="565">
        <f t="shared" si="17"/>
        <v>1915944.3691237275</v>
      </c>
      <c r="AJ46" s="565">
        <f t="shared" si="17"/>
        <v>2107538.8060361003</v>
      </c>
      <c r="AK46" s="565">
        <f t="shared" si="17"/>
        <v>2318292.6866397103</v>
      </c>
      <c r="AL46" s="565">
        <f t="shared" si="17"/>
        <v>2550121.955303682</v>
      </c>
      <c r="AM46" s="565">
        <f t="shared" si="17"/>
        <v>2805134.15083405</v>
      </c>
      <c r="AN46" s="565">
        <f t="shared" si="17"/>
        <v>3085647.5659174551</v>
      </c>
      <c r="AO46" s="565">
        <f t="shared" si="17"/>
        <v>3394212.3225092003</v>
      </c>
      <c r="AP46" s="565">
        <f t="shared" si="17"/>
        <v>3733633.5547601203</v>
      </c>
      <c r="AQ46" s="565">
        <f t="shared" si="17"/>
        <v>4106996.9102361337</v>
      </c>
      <c r="AR46" s="565">
        <f t="shared" si="17"/>
        <v>4517696.6012597466</v>
      </c>
      <c r="AS46" s="565">
        <f t="shared" si="17"/>
        <v>4969466.2613857212</v>
      </c>
      <c r="AT46" s="565">
        <f t="shared" si="17"/>
        <v>5466412.8875242947</v>
      </c>
      <c r="AU46" s="565">
        <f t="shared" si="17"/>
        <v>6013054.1762767239</v>
      </c>
      <c r="AV46" s="565">
        <f t="shared" si="17"/>
        <v>6614359.5939043965</v>
      </c>
      <c r="AW46" s="565">
        <f t="shared" si="17"/>
        <v>7275795.5532948356</v>
      </c>
      <c r="AX46" s="565">
        <f t="shared" si="17"/>
        <v>8003375.1086243205</v>
      </c>
      <c r="AY46" s="565">
        <f t="shared" si="17"/>
        <v>8803712.6194867529</v>
      </c>
      <c r="AZ46" s="565">
        <f t="shared" si="17"/>
        <v>9684083.8814354278</v>
      </c>
      <c r="BA46" s="565">
        <f t="shared" si="17"/>
        <v>10652492.269578971</v>
      </c>
      <c r="BB46" s="565">
        <f t="shared" si="17"/>
        <v>11717741.49653687</v>
      </c>
      <c r="BC46" s="565">
        <f t="shared" si="17"/>
        <v>12889515.646190554</v>
      </c>
      <c r="BD46" s="565">
        <f t="shared" si="17"/>
        <v>14178467.210809615</v>
      </c>
    </row>
    <row r="47" spans="1:56" s="159" customFormat="1" x14ac:dyDescent="0.25">
      <c r="A47" s="443"/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8"/>
      <c r="Z47" s="448"/>
      <c r="AA47" s="448"/>
      <c r="AB47" s="448"/>
      <c r="AC47" s="448"/>
      <c r="AD47" s="448"/>
      <c r="AE47" s="448"/>
      <c r="AF47" s="448"/>
      <c r="AG47" s="448"/>
      <c r="AH47" s="448"/>
      <c r="AI47" s="448"/>
      <c r="AJ47" s="448"/>
      <c r="AK47" s="448"/>
      <c r="AL47" s="448"/>
      <c r="AM47" s="448"/>
      <c r="AN47" s="448"/>
      <c r="AO47" s="448"/>
      <c r="AP47" s="448"/>
      <c r="AQ47" s="448"/>
      <c r="AR47" s="448"/>
      <c r="AS47" s="448"/>
      <c r="AT47" s="448"/>
      <c r="AU47" s="448"/>
      <c r="AV47" s="448"/>
      <c r="AW47" s="448"/>
      <c r="AX47" s="448"/>
      <c r="AY47" s="448"/>
      <c r="AZ47" s="448"/>
      <c r="BA47" s="448"/>
      <c r="BB47" s="448"/>
      <c r="BC47" s="448"/>
      <c r="BD47" s="448"/>
    </row>
    <row r="48" spans="1:56" s="439" customFormat="1" x14ac:dyDescent="0.25">
      <c r="A48" s="30" t="s">
        <v>661</v>
      </c>
      <c r="B48" s="29">
        <f>B39</f>
        <v>44256</v>
      </c>
      <c r="C48" s="29">
        <f t="shared" ref="C48:BD48" si="18">C39</f>
        <v>44287</v>
      </c>
      <c r="D48" s="29">
        <f t="shared" si="18"/>
        <v>44318</v>
      </c>
      <c r="E48" s="29">
        <f t="shared" si="18"/>
        <v>44349</v>
      </c>
      <c r="F48" s="29">
        <f t="shared" si="18"/>
        <v>44380</v>
      </c>
      <c r="G48" s="29">
        <f t="shared" si="18"/>
        <v>44411</v>
      </c>
      <c r="H48" s="29">
        <f t="shared" si="18"/>
        <v>44442</v>
      </c>
      <c r="I48" s="29">
        <f t="shared" si="18"/>
        <v>44473</v>
      </c>
      <c r="J48" s="29">
        <f t="shared" si="18"/>
        <v>44504</v>
      </c>
      <c r="K48" s="29">
        <f t="shared" si="18"/>
        <v>44535</v>
      </c>
      <c r="L48" s="29">
        <f t="shared" si="18"/>
        <v>44566</v>
      </c>
      <c r="M48" s="29">
        <f t="shared" si="18"/>
        <v>44597</v>
      </c>
      <c r="N48" s="29">
        <f t="shared" si="18"/>
        <v>44628</v>
      </c>
      <c r="O48" s="29">
        <f t="shared" si="18"/>
        <v>44659</v>
      </c>
      <c r="P48" s="29">
        <f t="shared" si="18"/>
        <v>44690</v>
      </c>
      <c r="Q48" s="29">
        <f t="shared" si="18"/>
        <v>44721</v>
      </c>
      <c r="R48" s="29">
        <f t="shared" si="18"/>
        <v>44752</v>
      </c>
      <c r="S48" s="29">
        <f t="shared" si="18"/>
        <v>44783</v>
      </c>
      <c r="T48" s="29">
        <f t="shared" si="18"/>
        <v>44814</v>
      </c>
      <c r="U48" s="29">
        <f t="shared" si="18"/>
        <v>44845</v>
      </c>
      <c r="V48" s="29">
        <f t="shared" si="18"/>
        <v>44876</v>
      </c>
      <c r="W48" s="29">
        <f t="shared" si="18"/>
        <v>44907</v>
      </c>
      <c r="X48" s="29">
        <f t="shared" si="18"/>
        <v>44938</v>
      </c>
      <c r="Y48" s="29">
        <f t="shared" si="18"/>
        <v>44969</v>
      </c>
      <c r="Z48" s="29">
        <f t="shared" si="18"/>
        <v>45000</v>
      </c>
      <c r="AA48" s="29">
        <f t="shared" si="18"/>
        <v>45031</v>
      </c>
      <c r="AB48" s="29">
        <f t="shared" si="18"/>
        <v>45062</v>
      </c>
      <c r="AC48" s="29">
        <f t="shared" si="18"/>
        <v>45093</v>
      </c>
      <c r="AD48" s="29">
        <f t="shared" si="18"/>
        <v>45124</v>
      </c>
      <c r="AE48" s="29">
        <f t="shared" si="18"/>
        <v>45155</v>
      </c>
      <c r="AF48" s="29">
        <f t="shared" si="18"/>
        <v>45186</v>
      </c>
      <c r="AG48" s="29">
        <f t="shared" si="18"/>
        <v>45217</v>
      </c>
      <c r="AH48" s="29">
        <f t="shared" si="18"/>
        <v>45248</v>
      </c>
      <c r="AI48" s="29">
        <f t="shared" si="18"/>
        <v>45279</v>
      </c>
      <c r="AJ48" s="29">
        <f t="shared" si="18"/>
        <v>45310</v>
      </c>
      <c r="AK48" s="29">
        <f t="shared" si="18"/>
        <v>45341</v>
      </c>
      <c r="AL48" s="29">
        <f t="shared" si="18"/>
        <v>45372</v>
      </c>
      <c r="AM48" s="29">
        <f t="shared" si="18"/>
        <v>45403</v>
      </c>
      <c r="AN48" s="29">
        <f t="shared" si="18"/>
        <v>45434</v>
      </c>
      <c r="AO48" s="29">
        <f t="shared" si="18"/>
        <v>45465</v>
      </c>
      <c r="AP48" s="29">
        <f t="shared" si="18"/>
        <v>45496</v>
      </c>
      <c r="AQ48" s="29">
        <f t="shared" si="18"/>
        <v>45527</v>
      </c>
      <c r="AR48" s="29">
        <f t="shared" si="18"/>
        <v>45558</v>
      </c>
      <c r="AS48" s="29">
        <f t="shared" si="18"/>
        <v>45589</v>
      </c>
      <c r="AT48" s="29">
        <f t="shared" si="18"/>
        <v>45620</v>
      </c>
      <c r="AU48" s="29">
        <f t="shared" si="18"/>
        <v>45651</v>
      </c>
      <c r="AV48" s="29">
        <f t="shared" si="18"/>
        <v>45682</v>
      </c>
      <c r="AW48" s="29">
        <f t="shared" si="18"/>
        <v>45713</v>
      </c>
      <c r="AX48" s="29">
        <f t="shared" si="18"/>
        <v>45744</v>
      </c>
      <c r="AY48" s="29">
        <f t="shared" si="18"/>
        <v>45775</v>
      </c>
      <c r="AZ48" s="29">
        <f t="shared" si="18"/>
        <v>45806</v>
      </c>
      <c r="BA48" s="29">
        <f t="shared" si="18"/>
        <v>45837</v>
      </c>
      <c r="BB48" s="29">
        <f t="shared" si="18"/>
        <v>45868</v>
      </c>
      <c r="BC48" s="29">
        <f t="shared" si="18"/>
        <v>45899</v>
      </c>
      <c r="BD48" s="29">
        <f t="shared" si="18"/>
        <v>45930</v>
      </c>
    </row>
    <row r="49" spans="1:56" s="159" customFormat="1" x14ac:dyDescent="0.25">
      <c r="A49" s="443" t="s">
        <v>662</v>
      </c>
      <c r="B49" s="448">
        <f>B46*$I$31</f>
        <v>0</v>
      </c>
      <c r="C49" s="448">
        <f t="shared" ref="C49:BD49" si="19">C46*$I$31</f>
        <v>0</v>
      </c>
      <c r="D49" s="448">
        <f t="shared" si="19"/>
        <v>0</v>
      </c>
      <c r="E49" s="448">
        <f t="shared" si="19"/>
        <v>5490</v>
      </c>
      <c r="F49" s="448">
        <f t="shared" si="19"/>
        <v>6039</v>
      </c>
      <c r="G49" s="448">
        <f t="shared" si="19"/>
        <v>6642.9000000000005</v>
      </c>
      <c r="H49" s="448">
        <f t="shared" si="19"/>
        <v>7307.1900000000014</v>
      </c>
      <c r="I49" s="448">
        <f t="shared" si="19"/>
        <v>8037.9089999999997</v>
      </c>
      <c r="J49" s="448">
        <f t="shared" si="19"/>
        <v>8841.6998999999996</v>
      </c>
      <c r="K49" s="448">
        <f t="shared" si="19"/>
        <v>9725.8698899999999</v>
      </c>
      <c r="L49" s="448">
        <f t="shared" si="19"/>
        <v>10698.456878999999</v>
      </c>
      <c r="M49" s="448">
        <f t="shared" si="19"/>
        <v>11768.302566899998</v>
      </c>
      <c r="N49" s="448">
        <f t="shared" si="19"/>
        <v>12945.13282359</v>
      </c>
      <c r="O49" s="448">
        <f t="shared" si="19"/>
        <v>14239.646105949003</v>
      </c>
      <c r="P49" s="448">
        <f t="shared" si="19"/>
        <v>15663.610716543901</v>
      </c>
      <c r="Q49" s="448">
        <f t="shared" si="19"/>
        <v>17229.971788198291</v>
      </c>
      <c r="R49" s="448">
        <f t="shared" si="19"/>
        <v>18952.968967018118</v>
      </c>
      <c r="S49" s="448">
        <f t="shared" si="19"/>
        <v>20848.265863719927</v>
      </c>
      <c r="T49" s="448">
        <f t="shared" si="19"/>
        <v>22933.092450091921</v>
      </c>
      <c r="U49" s="448">
        <f t="shared" si="19"/>
        <v>25226.401695101111</v>
      </c>
      <c r="V49" s="448">
        <f t="shared" si="19"/>
        <v>27749.041864611223</v>
      </c>
      <c r="W49" s="448">
        <f t="shared" si="19"/>
        <v>30523.946051072347</v>
      </c>
      <c r="X49" s="448">
        <f t="shared" si="19"/>
        <v>33576.340656179585</v>
      </c>
      <c r="Y49" s="448">
        <f t="shared" si="19"/>
        <v>36933.974721797545</v>
      </c>
      <c r="Z49" s="448">
        <f t="shared" si="19"/>
        <v>40627.372193977302</v>
      </c>
      <c r="AA49" s="448">
        <f t="shared" si="19"/>
        <v>44690.109413375023</v>
      </c>
      <c r="AB49" s="448">
        <f t="shared" si="19"/>
        <v>49159.120354712533</v>
      </c>
      <c r="AC49" s="448">
        <f t="shared" si="19"/>
        <v>54075.032390183784</v>
      </c>
      <c r="AD49" s="448">
        <f t="shared" si="19"/>
        <v>59482.535629202161</v>
      </c>
      <c r="AE49" s="448">
        <f t="shared" si="19"/>
        <v>65430.789192122385</v>
      </c>
      <c r="AF49" s="448">
        <f t="shared" si="19"/>
        <v>71973.868111334625</v>
      </c>
      <c r="AG49" s="448">
        <f t="shared" si="19"/>
        <v>79171.254922468099</v>
      </c>
      <c r="AH49" s="448">
        <f t="shared" si="19"/>
        <v>87088.380414714906</v>
      </c>
      <c r="AI49" s="448">
        <f t="shared" si="19"/>
        <v>95797.218456186383</v>
      </c>
      <c r="AJ49" s="448">
        <f t="shared" si="19"/>
        <v>105376.94030180502</v>
      </c>
      <c r="AK49" s="448">
        <f t="shared" si="19"/>
        <v>115914.63433198552</v>
      </c>
      <c r="AL49" s="448">
        <f t="shared" si="19"/>
        <v>127506.09776518411</v>
      </c>
      <c r="AM49" s="448">
        <f t="shared" si="19"/>
        <v>140256.70754170252</v>
      </c>
      <c r="AN49" s="448">
        <f t="shared" si="19"/>
        <v>154282.37829587277</v>
      </c>
      <c r="AO49" s="448">
        <f t="shared" si="19"/>
        <v>169710.61612546002</v>
      </c>
      <c r="AP49" s="448">
        <f t="shared" si="19"/>
        <v>186681.67773800602</v>
      </c>
      <c r="AQ49" s="448">
        <f t="shared" si="19"/>
        <v>205349.84551180669</v>
      </c>
      <c r="AR49" s="448">
        <f t="shared" si="19"/>
        <v>225884.83006298734</v>
      </c>
      <c r="AS49" s="448">
        <f t="shared" si="19"/>
        <v>248473.31306928606</v>
      </c>
      <c r="AT49" s="448">
        <f t="shared" si="19"/>
        <v>273320.64437621477</v>
      </c>
      <c r="AU49" s="448">
        <f t="shared" si="19"/>
        <v>300652.70881383622</v>
      </c>
      <c r="AV49" s="448">
        <f t="shared" si="19"/>
        <v>330717.97969521984</v>
      </c>
      <c r="AW49" s="448">
        <f t="shared" si="19"/>
        <v>363789.77766474179</v>
      </c>
      <c r="AX49" s="448">
        <f t="shared" si="19"/>
        <v>400168.75543121604</v>
      </c>
      <c r="AY49" s="448">
        <f t="shared" si="19"/>
        <v>440185.63097433769</v>
      </c>
      <c r="AZ49" s="448">
        <f t="shared" si="19"/>
        <v>484204.1940717714</v>
      </c>
      <c r="BA49" s="448">
        <f t="shared" si="19"/>
        <v>532624.6134789486</v>
      </c>
      <c r="BB49" s="448">
        <f t="shared" si="19"/>
        <v>585887.07482684345</v>
      </c>
      <c r="BC49" s="448">
        <f t="shared" si="19"/>
        <v>644475.78230952774</v>
      </c>
      <c r="BD49" s="448">
        <f t="shared" si="19"/>
        <v>708923.36054048082</v>
      </c>
    </row>
    <row r="50" spans="1:56" s="159" customFormat="1" x14ac:dyDescent="0.25">
      <c r="A50" s="160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</row>
    <row r="51" spans="1:56" s="151" customFormat="1" x14ac:dyDescent="0.25">
      <c r="A51" s="23" t="s">
        <v>555</v>
      </c>
      <c r="B51" s="24">
        <f t="shared" ref="B51:AG51" si="20">B35</f>
        <v>44256</v>
      </c>
      <c r="C51" s="24">
        <f t="shared" si="20"/>
        <v>44287</v>
      </c>
      <c r="D51" s="24">
        <f t="shared" si="20"/>
        <v>44318</v>
      </c>
      <c r="E51" s="24">
        <f t="shared" si="20"/>
        <v>44349</v>
      </c>
      <c r="F51" s="24">
        <f t="shared" si="20"/>
        <v>44380</v>
      </c>
      <c r="G51" s="24">
        <f t="shared" si="20"/>
        <v>44411</v>
      </c>
      <c r="H51" s="24">
        <f t="shared" si="20"/>
        <v>44442</v>
      </c>
      <c r="I51" s="24">
        <f t="shared" si="20"/>
        <v>44473</v>
      </c>
      <c r="J51" s="24">
        <f t="shared" si="20"/>
        <v>44504</v>
      </c>
      <c r="K51" s="24">
        <f t="shared" si="20"/>
        <v>44535</v>
      </c>
      <c r="L51" s="24">
        <f t="shared" si="20"/>
        <v>44566</v>
      </c>
      <c r="M51" s="24">
        <f t="shared" si="20"/>
        <v>44597</v>
      </c>
      <c r="N51" s="24">
        <f t="shared" si="20"/>
        <v>44628</v>
      </c>
      <c r="O51" s="24">
        <f t="shared" si="20"/>
        <v>44659</v>
      </c>
      <c r="P51" s="24">
        <f t="shared" si="20"/>
        <v>44690</v>
      </c>
      <c r="Q51" s="24">
        <f t="shared" si="20"/>
        <v>44721</v>
      </c>
      <c r="R51" s="24">
        <f t="shared" si="20"/>
        <v>44752</v>
      </c>
      <c r="S51" s="24">
        <f t="shared" si="20"/>
        <v>44783</v>
      </c>
      <c r="T51" s="24">
        <f t="shared" si="20"/>
        <v>44814</v>
      </c>
      <c r="U51" s="24">
        <f t="shared" si="20"/>
        <v>44845</v>
      </c>
      <c r="V51" s="24">
        <f t="shared" si="20"/>
        <v>44876</v>
      </c>
      <c r="W51" s="24">
        <f t="shared" si="20"/>
        <v>44907</v>
      </c>
      <c r="X51" s="24">
        <f t="shared" si="20"/>
        <v>44938</v>
      </c>
      <c r="Y51" s="24">
        <f t="shared" si="20"/>
        <v>44969</v>
      </c>
      <c r="Z51" s="24">
        <f t="shared" si="20"/>
        <v>45000</v>
      </c>
      <c r="AA51" s="24">
        <f t="shared" si="20"/>
        <v>45031</v>
      </c>
      <c r="AB51" s="24">
        <f t="shared" si="20"/>
        <v>45062</v>
      </c>
      <c r="AC51" s="24">
        <f t="shared" si="20"/>
        <v>45093</v>
      </c>
      <c r="AD51" s="24">
        <f t="shared" si="20"/>
        <v>45124</v>
      </c>
      <c r="AE51" s="24">
        <f t="shared" si="20"/>
        <v>45155</v>
      </c>
      <c r="AF51" s="24">
        <f t="shared" si="20"/>
        <v>45186</v>
      </c>
      <c r="AG51" s="24">
        <f t="shared" si="20"/>
        <v>45217</v>
      </c>
      <c r="AH51" s="24">
        <f t="shared" ref="AH51:BD51" si="21">AH35</f>
        <v>45248</v>
      </c>
      <c r="AI51" s="24">
        <f t="shared" si="21"/>
        <v>45279</v>
      </c>
      <c r="AJ51" s="24">
        <f t="shared" si="21"/>
        <v>45310</v>
      </c>
      <c r="AK51" s="24">
        <f t="shared" si="21"/>
        <v>45341</v>
      </c>
      <c r="AL51" s="24">
        <f t="shared" si="21"/>
        <v>45372</v>
      </c>
      <c r="AM51" s="24">
        <f t="shared" si="21"/>
        <v>45403</v>
      </c>
      <c r="AN51" s="24">
        <f t="shared" si="21"/>
        <v>45434</v>
      </c>
      <c r="AO51" s="24">
        <f t="shared" si="21"/>
        <v>45465</v>
      </c>
      <c r="AP51" s="24">
        <f t="shared" si="21"/>
        <v>45496</v>
      </c>
      <c r="AQ51" s="24">
        <f t="shared" si="21"/>
        <v>45527</v>
      </c>
      <c r="AR51" s="24">
        <f t="shared" si="21"/>
        <v>45558</v>
      </c>
      <c r="AS51" s="24">
        <f t="shared" si="21"/>
        <v>45589</v>
      </c>
      <c r="AT51" s="24">
        <f t="shared" si="21"/>
        <v>45620</v>
      </c>
      <c r="AU51" s="24">
        <f t="shared" si="21"/>
        <v>45651</v>
      </c>
      <c r="AV51" s="24">
        <f t="shared" si="21"/>
        <v>45682</v>
      </c>
      <c r="AW51" s="24">
        <f t="shared" si="21"/>
        <v>45713</v>
      </c>
      <c r="AX51" s="24">
        <f t="shared" si="21"/>
        <v>45744</v>
      </c>
      <c r="AY51" s="24">
        <f t="shared" si="21"/>
        <v>45775</v>
      </c>
      <c r="AZ51" s="24">
        <f t="shared" si="21"/>
        <v>45806</v>
      </c>
      <c r="BA51" s="24">
        <f t="shared" si="21"/>
        <v>45837</v>
      </c>
      <c r="BB51" s="24">
        <f t="shared" si="21"/>
        <v>45868</v>
      </c>
      <c r="BC51" s="24">
        <f t="shared" si="21"/>
        <v>45899</v>
      </c>
      <c r="BD51" s="24">
        <f t="shared" si="21"/>
        <v>45930</v>
      </c>
    </row>
    <row r="52" spans="1:56" s="151" customFormat="1" x14ac:dyDescent="0.25">
      <c r="A52" s="18" t="s">
        <v>398</v>
      </c>
      <c r="B52" s="155">
        <f>B49</f>
        <v>0</v>
      </c>
      <c r="C52" s="155">
        <f t="shared" ref="C52:BD52" si="22">C49</f>
        <v>0</v>
      </c>
      <c r="D52" s="155">
        <f t="shared" si="22"/>
        <v>0</v>
      </c>
      <c r="E52" s="155">
        <f t="shared" si="22"/>
        <v>5490</v>
      </c>
      <c r="F52" s="155">
        <f t="shared" si="22"/>
        <v>6039</v>
      </c>
      <c r="G52" s="155">
        <f t="shared" si="22"/>
        <v>6642.9000000000005</v>
      </c>
      <c r="H52" s="155">
        <f t="shared" si="22"/>
        <v>7307.1900000000014</v>
      </c>
      <c r="I52" s="155">
        <f t="shared" si="22"/>
        <v>8037.9089999999997</v>
      </c>
      <c r="J52" s="155">
        <f t="shared" si="22"/>
        <v>8841.6998999999996</v>
      </c>
      <c r="K52" s="155">
        <f t="shared" si="22"/>
        <v>9725.8698899999999</v>
      </c>
      <c r="L52" s="155">
        <f t="shared" si="22"/>
        <v>10698.456878999999</v>
      </c>
      <c r="M52" s="155">
        <f t="shared" si="22"/>
        <v>11768.302566899998</v>
      </c>
      <c r="N52" s="155">
        <f t="shared" si="22"/>
        <v>12945.13282359</v>
      </c>
      <c r="O52" s="155">
        <f t="shared" si="22"/>
        <v>14239.646105949003</v>
      </c>
      <c r="P52" s="155">
        <f t="shared" si="22"/>
        <v>15663.610716543901</v>
      </c>
      <c r="Q52" s="155">
        <f t="shared" si="22"/>
        <v>17229.971788198291</v>
      </c>
      <c r="R52" s="155">
        <f t="shared" si="22"/>
        <v>18952.968967018118</v>
      </c>
      <c r="S52" s="155">
        <f t="shared" si="22"/>
        <v>20848.265863719927</v>
      </c>
      <c r="T52" s="155">
        <f t="shared" si="22"/>
        <v>22933.092450091921</v>
      </c>
      <c r="U52" s="155">
        <f t="shared" si="22"/>
        <v>25226.401695101111</v>
      </c>
      <c r="V52" s="155">
        <f t="shared" si="22"/>
        <v>27749.041864611223</v>
      </c>
      <c r="W52" s="155">
        <f t="shared" si="22"/>
        <v>30523.946051072347</v>
      </c>
      <c r="X52" s="155">
        <f t="shared" si="22"/>
        <v>33576.340656179585</v>
      </c>
      <c r="Y52" s="155">
        <f t="shared" si="22"/>
        <v>36933.974721797545</v>
      </c>
      <c r="Z52" s="155">
        <f t="shared" si="22"/>
        <v>40627.372193977302</v>
      </c>
      <c r="AA52" s="155">
        <f t="shared" si="22"/>
        <v>44690.109413375023</v>
      </c>
      <c r="AB52" s="155">
        <f t="shared" si="22"/>
        <v>49159.120354712533</v>
      </c>
      <c r="AC52" s="155">
        <f t="shared" si="22"/>
        <v>54075.032390183784</v>
      </c>
      <c r="AD52" s="155">
        <f t="shared" si="22"/>
        <v>59482.535629202161</v>
      </c>
      <c r="AE52" s="155">
        <f t="shared" si="22"/>
        <v>65430.789192122385</v>
      </c>
      <c r="AF52" s="155">
        <f t="shared" si="22"/>
        <v>71973.868111334625</v>
      </c>
      <c r="AG52" s="155">
        <f t="shared" si="22"/>
        <v>79171.254922468099</v>
      </c>
      <c r="AH52" s="155">
        <f t="shared" si="22"/>
        <v>87088.380414714906</v>
      </c>
      <c r="AI52" s="155">
        <f t="shared" si="22"/>
        <v>95797.218456186383</v>
      </c>
      <c r="AJ52" s="155">
        <f t="shared" si="22"/>
        <v>105376.94030180502</v>
      </c>
      <c r="AK52" s="155">
        <f t="shared" si="22"/>
        <v>115914.63433198552</v>
      </c>
      <c r="AL52" s="155">
        <f t="shared" si="22"/>
        <v>127506.09776518411</v>
      </c>
      <c r="AM52" s="155">
        <f t="shared" si="22"/>
        <v>140256.70754170252</v>
      </c>
      <c r="AN52" s="155">
        <f t="shared" si="22"/>
        <v>154282.37829587277</v>
      </c>
      <c r="AO52" s="155">
        <f t="shared" si="22"/>
        <v>169710.61612546002</v>
      </c>
      <c r="AP52" s="155">
        <f t="shared" si="22"/>
        <v>186681.67773800602</v>
      </c>
      <c r="AQ52" s="155">
        <f t="shared" si="22"/>
        <v>205349.84551180669</v>
      </c>
      <c r="AR52" s="155">
        <f t="shared" si="22"/>
        <v>225884.83006298734</v>
      </c>
      <c r="AS52" s="155">
        <f t="shared" si="22"/>
        <v>248473.31306928606</v>
      </c>
      <c r="AT52" s="155">
        <f t="shared" si="22"/>
        <v>273320.64437621477</v>
      </c>
      <c r="AU52" s="155">
        <f t="shared" si="22"/>
        <v>300652.70881383622</v>
      </c>
      <c r="AV52" s="155">
        <f t="shared" si="22"/>
        <v>330717.97969521984</v>
      </c>
      <c r="AW52" s="155">
        <f t="shared" si="22"/>
        <v>363789.77766474179</v>
      </c>
      <c r="AX52" s="155">
        <f t="shared" si="22"/>
        <v>400168.75543121604</v>
      </c>
      <c r="AY52" s="155">
        <f t="shared" si="22"/>
        <v>440185.63097433769</v>
      </c>
      <c r="AZ52" s="155">
        <f t="shared" si="22"/>
        <v>484204.1940717714</v>
      </c>
      <c r="BA52" s="155">
        <f t="shared" si="22"/>
        <v>532624.6134789486</v>
      </c>
      <c r="BB52" s="155">
        <f t="shared" si="22"/>
        <v>585887.07482684345</v>
      </c>
      <c r="BC52" s="155">
        <f t="shared" si="22"/>
        <v>644475.78230952774</v>
      </c>
      <c r="BD52" s="155">
        <f t="shared" si="22"/>
        <v>708923.36054048082</v>
      </c>
    </row>
    <row r="53" spans="1:56" s="151" customFormat="1" x14ac:dyDescent="0.25">
      <c r="A53" s="150" t="s">
        <v>411</v>
      </c>
      <c r="B53" s="161" t="e">
        <f t="shared" ref="B53:BD53" si="23">(B52-A52)/B52</f>
        <v>#VALUE!</v>
      </c>
      <c r="C53" s="161" t="e">
        <f t="shared" si="23"/>
        <v>#DIV/0!</v>
      </c>
      <c r="D53" s="161" t="e">
        <f t="shared" si="23"/>
        <v>#DIV/0!</v>
      </c>
      <c r="E53" s="161">
        <f t="shared" si="23"/>
        <v>1</v>
      </c>
      <c r="F53" s="161">
        <f t="shared" si="23"/>
        <v>9.0909090909090912E-2</v>
      </c>
      <c r="G53" s="161">
        <f t="shared" si="23"/>
        <v>9.0909090909090981E-2</v>
      </c>
      <c r="H53" s="161">
        <f t="shared" si="23"/>
        <v>9.0909090909091009E-2</v>
      </c>
      <c r="I53" s="161">
        <f t="shared" si="23"/>
        <v>9.090909090909069E-2</v>
      </c>
      <c r="J53" s="161">
        <f t="shared" si="23"/>
        <v>9.0909090909090912E-2</v>
      </c>
      <c r="K53" s="161">
        <f t="shared" si="23"/>
        <v>9.0909090909090939E-2</v>
      </c>
      <c r="L53" s="161">
        <f t="shared" si="23"/>
        <v>9.0909090909090856E-2</v>
      </c>
      <c r="M53" s="161">
        <f t="shared" si="23"/>
        <v>9.0909090909090814E-2</v>
      </c>
      <c r="N53" s="161">
        <f t="shared" si="23"/>
        <v>9.0909090909091064E-2</v>
      </c>
      <c r="O53" s="161">
        <f t="shared" si="23"/>
        <v>9.0909090909091092E-2</v>
      </c>
      <c r="P53" s="161">
        <f t="shared" si="23"/>
        <v>9.0909090909090759E-2</v>
      </c>
      <c r="Q53" s="161">
        <f t="shared" si="23"/>
        <v>9.0909090909090898E-2</v>
      </c>
      <c r="R53" s="161">
        <f t="shared" si="23"/>
        <v>9.0909090909090828E-2</v>
      </c>
      <c r="S53" s="161">
        <f t="shared" si="23"/>
        <v>9.0909090909090814E-2</v>
      </c>
      <c r="T53" s="161">
        <f t="shared" si="23"/>
        <v>9.0909090909090939E-2</v>
      </c>
      <c r="U53" s="161">
        <f t="shared" si="23"/>
        <v>9.0909090909090828E-2</v>
      </c>
      <c r="V53" s="161">
        <f t="shared" si="23"/>
        <v>9.0909090909090939E-2</v>
      </c>
      <c r="W53" s="161">
        <f t="shared" si="23"/>
        <v>9.0909090909090981E-2</v>
      </c>
      <c r="X53" s="161">
        <f t="shared" si="23"/>
        <v>9.0909090909090995E-2</v>
      </c>
      <c r="Y53" s="161">
        <f t="shared" si="23"/>
        <v>9.0909090909090939E-2</v>
      </c>
      <c r="Z53" s="161">
        <f t="shared" si="23"/>
        <v>9.0909090909090953E-2</v>
      </c>
      <c r="AA53" s="161">
        <f t="shared" si="23"/>
        <v>9.0909090909090717E-2</v>
      </c>
      <c r="AB53" s="161">
        <f t="shared" si="23"/>
        <v>9.090909090909105E-2</v>
      </c>
      <c r="AC53" s="161">
        <f t="shared" si="23"/>
        <v>9.0909090909090856E-2</v>
      </c>
      <c r="AD53" s="161">
        <f t="shared" si="23"/>
        <v>9.0909090909090884E-2</v>
      </c>
      <c r="AE53" s="161">
        <f t="shared" si="23"/>
        <v>9.0909090909091037E-2</v>
      </c>
      <c r="AF53" s="161">
        <f t="shared" si="23"/>
        <v>9.0909090909090912E-2</v>
      </c>
      <c r="AG53" s="161">
        <f t="shared" si="23"/>
        <v>9.0909090909091037E-2</v>
      </c>
      <c r="AH53" s="161">
        <f t="shared" si="23"/>
        <v>9.0909090909090884E-2</v>
      </c>
      <c r="AI53" s="161">
        <f t="shared" si="23"/>
        <v>9.0909090909090787E-2</v>
      </c>
      <c r="AJ53" s="161">
        <f t="shared" si="23"/>
        <v>9.0909090909090912E-2</v>
      </c>
      <c r="AK53" s="161">
        <f t="shared" si="23"/>
        <v>9.0909090909090898E-2</v>
      </c>
      <c r="AL53" s="161">
        <f t="shared" si="23"/>
        <v>9.0909090909091161E-2</v>
      </c>
      <c r="AM53" s="161">
        <f t="shared" si="23"/>
        <v>9.0909090909090898E-2</v>
      </c>
      <c r="AN53" s="161">
        <f t="shared" si="23"/>
        <v>9.0909090909090898E-2</v>
      </c>
      <c r="AO53" s="161">
        <f t="shared" si="23"/>
        <v>9.0909090909090759E-2</v>
      </c>
      <c r="AP53" s="161">
        <f t="shared" si="23"/>
        <v>9.0909090909090939E-2</v>
      </c>
      <c r="AQ53" s="161">
        <f t="shared" si="23"/>
        <v>9.0909090909091203E-2</v>
      </c>
      <c r="AR53" s="161">
        <f t="shared" si="23"/>
        <v>9.0909090909090828E-2</v>
      </c>
      <c r="AS53" s="161">
        <f t="shared" si="23"/>
        <v>9.0909090909090842E-2</v>
      </c>
      <c r="AT53" s="161">
        <f t="shared" si="23"/>
        <v>9.0909090909091259E-2</v>
      </c>
      <c r="AU53" s="161">
        <f t="shared" si="23"/>
        <v>9.0909090909090814E-2</v>
      </c>
      <c r="AV53" s="161">
        <f t="shared" si="23"/>
        <v>9.0909090909090912E-2</v>
      </c>
      <c r="AW53" s="161">
        <f t="shared" si="23"/>
        <v>9.0909090909090842E-2</v>
      </c>
      <c r="AX53" s="161">
        <f t="shared" si="23"/>
        <v>9.090909090909105E-2</v>
      </c>
      <c r="AY53" s="161">
        <f t="shared" si="23"/>
        <v>9.0909090909091023E-2</v>
      </c>
      <c r="AZ53" s="161">
        <f t="shared" si="23"/>
        <v>9.0909090909090801E-2</v>
      </c>
      <c r="BA53" s="161">
        <f t="shared" si="23"/>
        <v>9.0909090909090995E-2</v>
      </c>
      <c r="BB53" s="161">
        <f t="shared" si="23"/>
        <v>9.0909090909090912E-2</v>
      </c>
      <c r="BC53" s="161">
        <f t="shared" si="23"/>
        <v>9.0909090909090828E-2</v>
      </c>
      <c r="BD53" s="161">
        <f t="shared" si="23"/>
        <v>9.09090909090913E-2</v>
      </c>
    </row>
    <row r="54" spans="1:56" s="151" customFormat="1" x14ac:dyDescent="0.25">
      <c r="B54" s="155"/>
      <c r="N54" s="221"/>
    </row>
    <row r="55" spans="1:56" s="151" customFormat="1" x14ac:dyDescent="0.25">
      <c r="A55" s="9" t="s">
        <v>55</v>
      </c>
      <c r="B55" s="62">
        <f>B15</f>
        <v>44256</v>
      </c>
      <c r="C55" s="62">
        <f>B55+31</f>
        <v>44287</v>
      </c>
      <c r="D55" s="62">
        <f t="shared" ref="D55:BD55" si="24">C55+31</f>
        <v>44318</v>
      </c>
      <c r="E55" s="62">
        <f t="shared" si="24"/>
        <v>44349</v>
      </c>
      <c r="F55" s="62">
        <f t="shared" si="24"/>
        <v>44380</v>
      </c>
      <c r="G55" s="62">
        <f t="shared" si="24"/>
        <v>44411</v>
      </c>
      <c r="H55" s="62">
        <f t="shared" si="24"/>
        <v>44442</v>
      </c>
      <c r="I55" s="62">
        <f t="shared" si="24"/>
        <v>44473</v>
      </c>
      <c r="J55" s="62">
        <f t="shared" si="24"/>
        <v>44504</v>
      </c>
      <c r="K55" s="62">
        <f t="shared" si="24"/>
        <v>44535</v>
      </c>
      <c r="L55" s="62">
        <f t="shared" si="24"/>
        <v>44566</v>
      </c>
      <c r="M55" s="62">
        <f t="shared" si="24"/>
        <v>44597</v>
      </c>
      <c r="N55" s="62">
        <f t="shared" si="24"/>
        <v>44628</v>
      </c>
      <c r="O55" s="62">
        <f t="shared" si="24"/>
        <v>44659</v>
      </c>
      <c r="P55" s="62">
        <f t="shared" si="24"/>
        <v>44690</v>
      </c>
      <c r="Q55" s="62">
        <f t="shared" si="24"/>
        <v>44721</v>
      </c>
      <c r="R55" s="62">
        <f t="shared" si="24"/>
        <v>44752</v>
      </c>
      <c r="S55" s="62">
        <f t="shared" si="24"/>
        <v>44783</v>
      </c>
      <c r="T55" s="62">
        <f t="shared" si="24"/>
        <v>44814</v>
      </c>
      <c r="U55" s="62">
        <f t="shared" si="24"/>
        <v>44845</v>
      </c>
      <c r="V55" s="62">
        <f t="shared" si="24"/>
        <v>44876</v>
      </c>
      <c r="W55" s="62">
        <f t="shared" si="24"/>
        <v>44907</v>
      </c>
      <c r="X55" s="62">
        <f t="shared" si="24"/>
        <v>44938</v>
      </c>
      <c r="Y55" s="62">
        <f t="shared" si="24"/>
        <v>44969</v>
      </c>
      <c r="Z55" s="62">
        <f t="shared" si="24"/>
        <v>45000</v>
      </c>
      <c r="AA55" s="62">
        <f t="shared" si="24"/>
        <v>45031</v>
      </c>
      <c r="AB55" s="62">
        <f t="shared" si="24"/>
        <v>45062</v>
      </c>
      <c r="AC55" s="62">
        <f t="shared" si="24"/>
        <v>45093</v>
      </c>
      <c r="AD55" s="62">
        <f t="shared" si="24"/>
        <v>45124</v>
      </c>
      <c r="AE55" s="62">
        <f t="shared" si="24"/>
        <v>45155</v>
      </c>
      <c r="AF55" s="62">
        <f t="shared" si="24"/>
        <v>45186</v>
      </c>
      <c r="AG55" s="62">
        <f t="shared" si="24"/>
        <v>45217</v>
      </c>
      <c r="AH55" s="62">
        <f t="shared" si="24"/>
        <v>45248</v>
      </c>
      <c r="AI55" s="62">
        <f t="shared" si="24"/>
        <v>45279</v>
      </c>
      <c r="AJ55" s="62">
        <f t="shared" si="24"/>
        <v>45310</v>
      </c>
      <c r="AK55" s="62">
        <f t="shared" si="24"/>
        <v>45341</v>
      </c>
      <c r="AL55" s="62">
        <f t="shared" si="24"/>
        <v>45372</v>
      </c>
      <c r="AM55" s="62">
        <f t="shared" si="24"/>
        <v>45403</v>
      </c>
      <c r="AN55" s="62">
        <f t="shared" si="24"/>
        <v>45434</v>
      </c>
      <c r="AO55" s="62">
        <f t="shared" si="24"/>
        <v>45465</v>
      </c>
      <c r="AP55" s="62">
        <f t="shared" si="24"/>
        <v>45496</v>
      </c>
      <c r="AQ55" s="62">
        <f t="shared" si="24"/>
        <v>45527</v>
      </c>
      <c r="AR55" s="62">
        <f t="shared" si="24"/>
        <v>45558</v>
      </c>
      <c r="AS55" s="62">
        <f t="shared" si="24"/>
        <v>45589</v>
      </c>
      <c r="AT55" s="62">
        <f t="shared" si="24"/>
        <v>45620</v>
      </c>
      <c r="AU55" s="62">
        <f t="shared" si="24"/>
        <v>45651</v>
      </c>
      <c r="AV55" s="62">
        <f t="shared" si="24"/>
        <v>45682</v>
      </c>
      <c r="AW55" s="62">
        <f t="shared" si="24"/>
        <v>45713</v>
      </c>
      <c r="AX55" s="62">
        <f t="shared" si="24"/>
        <v>45744</v>
      </c>
      <c r="AY55" s="62">
        <f t="shared" si="24"/>
        <v>45775</v>
      </c>
      <c r="AZ55" s="62">
        <f t="shared" si="24"/>
        <v>45806</v>
      </c>
      <c r="BA55" s="62">
        <f t="shared" si="24"/>
        <v>45837</v>
      </c>
      <c r="BB55" s="62">
        <f t="shared" si="24"/>
        <v>45868</v>
      </c>
      <c r="BC55" s="62">
        <f t="shared" si="24"/>
        <v>45899</v>
      </c>
      <c r="BD55" s="62">
        <f t="shared" si="24"/>
        <v>45930</v>
      </c>
    </row>
    <row r="56" spans="1:56" s="151" customFormat="1" outlineLevel="1" x14ac:dyDescent="0.25">
      <c r="A56" s="18" t="s">
        <v>359</v>
      </c>
      <c r="B56" s="158">
        <f>IF($C$16=1,$F$13,IF($C$16=2,$F$13/2,IF($C$16=3,$F$13/3,IF($C$16=4,$F$13/4,IF($C$16=5,$F$13/5,IF($C$16=6,$F$13/6,IF($C$16=7,$F$13/7,IF($C$16=8,$F$13/8,"0"))))))))</f>
        <v>5271</v>
      </c>
      <c r="C56" s="158">
        <f>IF($C$16=2,$F$13/2,IF($C$16=3,$F$13/3,IF($C$16=4,$F$13/4,IF($C$16=5,$F$13/5,IF($C$16=6,$F$13/6,IF($C$16=7,$F$13/7,IF($C$16=8,$F$13/8,"0")))))))</f>
        <v>5271</v>
      </c>
      <c r="D56" s="158" t="str">
        <f>IF($C$16=3,$F$13/3,IF($C$16=4,$F$13/4,IF($C$16=5,$F$13/5,IF($C$16=6,$F$13/6,IF($C$16=7,$F$13/7,IF($C$16=8,$F$13/8,"0"))))))</f>
        <v>0</v>
      </c>
      <c r="E56" s="158" t="str">
        <f>IF($C$16=4,$F$13/4,IF($C$16=5,$F$13/5,IF($C$16=6,$F$13/6,IF($C$16=7,$F$13/7,IF($C$16=8,$F$13/8,"0")))))</f>
        <v>0</v>
      </c>
      <c r="F56" s="158" t="str">
        <f>IF($C$16=5,$F$13/5,IF($C$16=6,$F$13/6,IF($C$16=7,$F$13/7,IF($C$16=8,$F$13/8,"0"))))</f>
        <v>0</v>
      </c>
      <c r="G56" s="158" t="str">
        <f>IF($C$16=6,$F$13/6,IF($C$16=7,$F$13/7,IF($C$16=8,$F$13/8,"0")))</f>
        <v>0</v>
      </c>
      <c r="H56" s="158" t="str">
        <f>IF($C$16=7,$F$13/7,IF($C$16=8,$F$13/8,"0"))</f>
        <v>0</v>
      </c>
      <c r="I56" s="158" t="str">
        <f>IF($C$16=8,$F$13/8,"0")</f>
        <v>0</v>
      </c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</row>
    <row r="57" spans="1:56" s="151" customFormat="1" outlineLevel="1" x14ac:dyDescent="0.25">
      <c r="A57" s="18" t="s">
        <v>360</v>
      </c>
      <c r="B57" s="230"/>
      <c r="C57" s="231" t="b">
        <f>IF(C56="",IF($C$19=1,$M$13,IF($C$19=2,$M$13/2,IF($C$19=3,$M$13/3,IF($C$19=4,$M$13/4,IF($C$19=5,$M$13/5))))))</f>
        <v>0</v>
      </c>
      <c r="D57" s="231">
        <f>IF(C57=M10,0,IF(D56="0",IF($C$19=1,$M$13,IF($C$19=2,$M$13/2,IF($C$19=3,$M$13/3,IF($C$19=4,$M$13/4,IF($C$19=5,$M$13/5)))))))</f>
        <v>5733</v>
      </c>
      <c r="E57" s="231">
        <f>IF(SUM($C$57:D57)=$M$13,0,IF(E56="0",IF($C$19=1,$M$13,IF($C$19=2,$M$13/2,IF($C$19=3,$M$13/3,IF($C$19=4,$M$13/4,IF($C$19=5,$M$13/5)))))))</f>
        <v>0</v>
      </c>
      <c r="F57" s="231">
        <f>IF(SUM($C$57:E57)=$M$13,0,IF(F56="0",IF($C$19=1,$M$13,IF($C$19=2,$M$13/2,IF($C$19=3,$M$13/3,IF($C$19=4,$M$13/4,IF($C$19=5,$M$13/5)))))))</f>
        <v>0</v>
      </c>
      <c r="G57" s="231">
        <f>IF(SUM($C$57:F57)=$M$13,0,IF(G56="0",IF($C$19=1,$M$13,IF($C$19=2,$M$13/2,IF($C$19=3,$M$13/3,IF($C$19=4,$M$13/4,IF($C$19=5,$M$13/5)))))))</f>
        <v>0</v>
      </c>
      <c r="H57" s="231">
        <f>IF(SUM($C$57:G57)=$M$13,0,IF(H56="0",IF($C$19=1,$M$13,IF($C$19=2,$M$13/2,IF($C$19=3,$M$13/3,IF($C$19=4,$M$13/4,IF($C$19=5,$M$13/5)))))))</f>
        <v>0</v>
      </c>
      <c r="I57" s="231">
        <f>IF(SUM($C$57:H57)=$M$13,0,IF(I56="0",IF($C$19=1,$M$13,IF($C$19=2,$M$13/2,IF($C$19=3,$M$13/3,IF($C$19=4,$M$13/4,IF($C$19=5,$M$13/5)))))))</f>
        <v>0</v>
      </c>
      <c r="J57" s="231">
        <f>IF(SUM($C$57:I57)=$M$13,0,IF(J56="0",IF($C$19=1,$M$13,IF($C$19=2,$M$13/2,IF($C$19=3,$M$13/3,IF($C$19=4,$M$13/4,IF($C$19=5,$M$13/5)))))))</f>
        <v>0</v>
      </c>
      <c r="K57" s="231">
        <f>IF(SUM($C$57:J57)=$M$13,0,IF(K56="0",IF($C$19=1,$M$13,IF($C$19=2,$M$13/2,IF($C$19=3,$M$13/3,IF($C$19=4,$M$13/4,IF($C$19=5,$M$13/5)))))))</f>
        <v>0</v>
      </c>
      <c r="L57" s="231">
        <f>IF(SUM($C$57:K57)=$M$13,0,IF(L56="0",IF($C$19=1,$M$13,IF($C$19=2,$M$13/2,IF($C$19=3,$M$13/3,IF($C$19=4,$M$13/4,IF($C$19=5,$M$13/5)))))))</f>
        <v>0</v>
      </c>
      <c r="M57" s="231">
        <f>IF(SUM($C$57:L57)=$M$13,0,IF(M56="0",IF($C$19=1,$M$13,IF($C$19=2,$M$13/2,IF($C$19=3,$M$13/3,IF($C$19=4,$M$13/4,IF($C$19=5,$M$13/5)))))))</f>
        <v>0</v>
      </c>
      <c r="N57" s="231">
        <f>IF(SUM($C$57:M57)=$M$13,0,IF(N56="0",IF($C$19=1,$M$13,IF($C$19=2,$M$13/2,IF($C$19=3,$M$13/3,IF($C$19=4,$M$13/4,IF($C$19=5,$M$13/5)))))))</f>
        <v>0</v>
      </c>
      <c r="O57" s="231">
        <f>IF(SUM($C$57:N57)=$M$13,0,IF(O56="0",IF($C$19=1,$M$13,IF($C$19=2,$M$13/2,IF($C$19=3,$M$13/3,IF($C$19=4,$M$13/4,IF($C$19=5,$M$13/5)))))))</f>
        <v>0</v>
      </c>
      <c r="P57" s="231">
        <f>IF(SUM($C$57:O57)=$M$13,0,IF(P56="0",IF($C$19=1,$M$13,IF($C$19=2,$M$13/2,IF($C$19=3,$M$13/3,IF($C$19=4,$M$13/4,IF($C$19=5,$M$13/5)))))))</f>
        <v>0</v>
      </c>
      <c r="Q57" s="231">
        <f>IF(SUM($C$57:P57)=$M$13,0,IF(Q56="0",IF($C$19=1,$M$13,IF($C$19=2,$M$13/2,IF($C$19=3,$M$13/3,IF($C$19=4,$M$13/4,IF($C$19=5,$M$13/5)))))))</f>
        <v>0</v>
      </c>
      <c r="R57" s="231">
        <f>IF(SUM($C$57:Q57)=$M$13,0,IF(R56="0",IF($C$19=1,$M$13,IF($C$19=2,$M$13/2,IF($C$19=3,$M$13/3,IF($C$19=4,$M$13/4,IF($C$19=5,$M$13/5)))))))</f>
        <v>0</v>
      </c>
      <c r="S57" s="231">
        <f>IF(SUM($C$57:R57)=$M$13,0,IF(S56="0",IF($C$19=1,$M$13,IF($C$19=2,$M$13/2,IF($C$19=3,$M$13/3,IF($C$19=4,$M$13/4,IF($C$19=5,$M$13/5)))))))</f>
        <v>0</v>
      </c>
      <c r="T57" s="231">
        <f>IF(SUM($C$57:S57)=$M$13,0,IF(T56="0",IF($C$19=1,$M$13,IF($C$19=2,$M$13/2,IF($C$19=3,$M$13/3,IF($C$19=4,$M$13/4,IF($C$19=5,$M$13/5)))))))</f>
        <v>0</v>
      </c>
      <c r="U57" s="231">
        <f>IF(SUM($C$57:T57)=$M$13,0,IF(U56="0",IF($C$19=1,$M$13,IF($C$19=2,$M$13/2,IF($C$19=3,$M$13/3,IF($C$19=4,$M$13/4,IF($C$19=5,$M$13/5)))))))</f>
        <v>0</v>
      </c>
      <c r="V57" s="231">
        <f>IF(SUM($C$57:U57)=$M$13,0,IF(V56="0",IF($C$19=1,$M$13,IF($C$19=2,$M$13/2,IF($C$19=3,$M$13/3,IF($C$19=4,$M$13/4,IF($C$19=5,$M$13/5)))))))</f>
        <v>0</v>
      </c>
      <c r="W57" s="231">
        <f>IF(SUM($C$57:V57)=$M$13,0,IF(W56="0",IF($C$19=1,$M$13,IF($C$19=2,$M$13/2,IF($C$19=3,$M$13/3,IF($C$19=4,$M$13/4,IF($C$19=5,$M$13/5)))))))</f>
        <v>0</v>
      </c>
      <c r="X57" s="231">
        <f>IF(SUM($C$57:W57)=$M$13,0,IF(X56="0",IF($C$19=1,$M$13,IF($C$19=2,$M$13/2,IF($C$19=3,$M$13/3,IF($C$19=4,$M$13/4,IF($C$19=5,$M$13/5)))))))</f>
        <v>0</v>
      </c>
      <c r="Y57" s="231">
        <f>IF(SUM($C$57:X57)=$M$13,0,IF(Y56="0",IF($C$19=1,$M$13,IF($C$19=2,$M$13/2,IF($C$19=3,$M$13/3,IF($C$19=4,$M$13/4,IF($C$19=5,$M$13/5)))))))</f>
        <v>0</v>
      </c>
      <c r="Z57" s="231">
        <f>IF(SUM($C$57:Y57)=$M$13,0,IF(Z56="0",IF($C$19=1,$M$13,IF($C$19=2,$M$13/2,IF($C$19=3,$M$13/3,IF($C$19=4,$M$13/4,IF($C$19=5,$M$13/5)))))))</f>
        <v>0</v>
      </c>
      <c r="AA57" s="231">
        <f>IF(SUM($C$57:Z57)=$M$13,0,IF(AA56="0",IF($C$19=1,$M$13,IF($C$19=2,$M$13/2,IF($C$19=3,$M$13/3,IF($C$19=4,$M$13/4,IF($C$19=5,$M$13/5)))))))</f>
        <v>0</v>
      </c>
      <c r="AB57" s="231">
        <f>IF(SUM($C$57:AA57)=$M$13,0,IF(AB56="0",IF($C$19=1,$M$13,IF($C$19=2,$M$13/2,IF($C$19=3,$M$13/3,IF($C$19=4,$M$13/4,IF($C$19=5,$M$13/5)))))))</f>
        <v>0</v>
      </c>
      <c r="AC57" s="231">
        <f>IF(SUM($C$57:AB57)=$M$13,0,IF(AC56="0",IF($C$19=1,$M$13,IF($C$19=2,$M$13/2,IF($C$19=3,$M$13/3,IF($C$19=4,$M$13/4,IF($C$19=5,$M$13/5)))))))</f>
        <v>0</v>
      </c>
      <c r="AD57" s="231">
        <f>IF(SUM($C$57:AC57)=$M$13,0,IF(AD56="0",IF($C$19=1,$M$13,IF($C$19=2,$M$13/2,IF($C$19=3,$M$13/3,IF($C$19=4,$M$13/4,IF($C$19=5,$M$13/5)))))))</f>
        <v>0</v>
      </c>
      <c r="AE57" s="231">
        <f>IF(SUM($C$57:AD57)=$M$13,0,IF(AE56="0",IF($C$19=1,$M$13,IF($C$19=2,$M$13/2,IF($C$19=3,$M$13/3,IF($C$19=4,$M$13/4,IF($C$19=5,$M$13/5)))))))</f>
        <v>0</v>
      </c>
      <c r="AF57" s="231">
        <f>IF(SUM($C$57:AE57)=$M$13,0,IF(AF56="0",IF($C$19=1,$M$13,IF($C$19=2,$M$13/2,IF($C$19=3,$M$13/3,IF($C$19=4,$M$13/4,IF($C$19=5,$M$13/5)))))))</f>
        <v>0</v>
      </c>
      <c r="AG57" s="231">
        <f>IF(SUM($C$57:AF57)=$M$13,0,IF(AG56="0",IF($C$19=1,$M$13,IF($C$19=2,$M$13/2,IF($C$19=3,$M$13/3,IF($C$19=4,$M$13/4,IF($C$19=5,$M$13/5)))))))</f>
        <v>0</v>
      </c>
      <c r="AH57" s="231">
        <f>IF(SUM($C$57:AG57)=$M$13,0,IF(AH56="0",IF($C$19=1,$M$13,IF($C$19=2,$M$13/2,IF($C$19=3,$M$13/3,IF($C$19=4,$M$13/4,IF($C$19=5,$M$13/5)))))))</f>
        <v>0</v>
      </c>
      <c r="AI57" s="231">
        <f>IF(SUM($C$57:AH57)=$M$13,0,IF(AI56="0",IF($C$19=1,$M$13,IF($C$19=2,$M$13/2,IF($C$19=3,$M$13/3,IF($C$19=4,$M$13/4,IF($C$19=5,$M$13/5)))))))</f>
        <v>0</v>
      </c>
      <c r="AJ57" s="231">
        <f>IF(SUM($C$57:AI57)=$M$13,0,IF(AJ56="0",IF($C$19=1,$M$13,IF($C$19=2,$M$13/2,IF($C$19=3,$M$13/3,IF($C$19=4,$M$13/4,IF($C$19=5,$M$13/5)))))))</f>
        <v>0</v>
      </c>
      <c r="AK57" s="231">
        <f>IF(SUM($C$57:AJ57)=$M$13,0,IF(AK56="0",IF($C$19=1,$M$13,IF($C$19=2,$M$13/2,IF($C$19=3,$M$13/3,IF($C$19=4,$M$13/4,IF($C$19=5,$M$13/5)))))))</f>
        <v>0</v>
      </c>
      <c r="AL57" s="231">
        <f>IF(SUM($C$57:AK57)=$M$13,0,IF(AL56="0",IF($C$19=1,$M$13,IF($C$19=2,$M$13/2,IF($C$19=3,$M$13/3,IF($C$19=4,$M$13/4,IF($C$19=5,$M$13/5)))))))</f>
        <v>0</v>
      </c>
      <c r="AM57" s="231">
        <f>IF(SUM($C$57:AL57)=$M$13,0,IF(AM56="0",IF($C$19=1,$M$13,IF($C$19=2,$M$13/2,IF($C$19=3,$M$13/3,IF($C$19=4,$M$13/4,IF($C$19=5,$M$13/5)))))))</f>
        <v>0</v>
      </c>
      <c r="AN57" s="231">
        <f>IF(SUM($C$57:AM57)=$M$13,0,IF(AN56="0",IF($C$19=1,$M$13,IF($C$19=2,$M$13/2,IF($C$19=3,$M$13/3,IF($C$19=4,$M$13/4,IF($C$19=5,$M$13/5)))))))</f>
        <v>0</v>
      </c>
      <c r="AO57" s="231">
        <f>IF(SUM($C$57:AN57)=$M$13,0,IF(AO56="0",IF($C$19=1,$M$13,IF($C$19=2,$M$13/2,IF($C$19=3,$M$13/3,IF($C$19=4,$M$13/4,IF($C$19=5,$M$13/5)))))))</f>
        <v>0</v>
      </c>
      <c r="AP57" s="231">
        <f>IF(SUM($C$57:AO57)=$M$13,0,IF(AP56="0",IF($C$19=1,$M$13,IF($C$19=2,$M$13/2,IF($C$19=3,$M$13/3,IF($C$19=4,$M$13/4,IF($C$19=5,$M$13/5)))))))</f>
        <v>0</v>
      </c>
      <c r="AQ57" s="231">
        <f>IF(SUM($C$57:AP57)=$M$13,0,IF(AQ56="0",IF($C$19=1,$M$13,IF($C$19=2,$M$13/2,IF($C$19=3,$M$13/3,IF($C$19=4,$M$13/4,IF($C$19=5,$M$13/5)))))))</f>
        <v>0</v>
      </c>
      <c r="AR57" s="231">
        <f>IF(SUM($C$57:AQ57)=$M$13,0,IF(AR56="0",IF($C$19=1,$M$13,IF($C$19=2,$M$13/2,IF($C$19=3,$M$13/3,IF($C$19=4,$M$13/4,IF($C$19=5,$M$13/5)))))))</f>
        <v>0</v>
      </c>
      <c r="AS57" s="231">
        <f>IF(SUM($C$57:AR57)=$M$13,0,IF(AS56="0",IF($C$19=1,$M$13,IF($C$19=2,$M$13/2,IF($C$19=3,$M$13/3,IF($C$19=4,$M$13/4,IF($C$19=5,$M$13/5)))))))</f>
        <v>0</v>
      </c>
      <c r="AT57" s="231">
        <f>IF(SUM($C$57:AS57)=$M$13,0,IF(AT56="0",IF($C$19=1,$M$13,IF($C$19=2,$M$13/2,IF($C$19=3,$M$13/3,IF($C$19=4,$M$13/4,IF($C$19=5,$M$13/5)))))))</f>
        <v>0</v>
      </c>
      <c r="AU57" s="231">
        <f>IF(SUM($C$57:AT57)=$M$13,0,IF(AU56="0",IF($C$19=1,$M$13,IF($C$19=2,$M$13/2,IF($C$19=3,$M$13/3,IF($C$19=4,$M$13/4,IF($C$19=5,$M$13/5)))))))</f>
        <v>0</v>
      </c>
      <c r="AV57" s="231">
        <f>IF(SUM($C$57:AU57)=$M$13,0,IF(AV56="0",IF($C$19=1,$M$13,IF($C$19=2,$M$13/2,IF($C$19=3,$M$13/3,IF($C$19=4,$M$13/4,IF($C$19=5,$M$13/5)))))))</f>
        <v>0</v>
      </c>
      <c r="AW57" s="231">
        <f>IF(SUM($C$57:AV57)=$M$13,0,IF(AW56="0",IF($C$19=1,$M$13,IF($C$19=2,$M$13/2,IF($C$19=3,$M$13/3,IF($C$19=4,$M$13/4,IF($C$19=5,$M$13/5)))))))</f>
        <v>0</v>
      </c>
      <c r="AX57" s="231">
        <f>IF(SUM($C$57:AW57)=$M$13,0,IF(AX56="0",IF($C$19=1,$M$13,IF($C$19=2,$M$13/2,IF($C$19=3,$M$13/3,IF($C$19=4,$M$13/4,IF($C$19=5,$M$13/5)))))))</f>
        <v>0</v>
      </c>
      <c r="AY57" s="231">
        <f>IF(SUM($C$57:AX57)=$M$13,0,IF(AY56="0",IF($C$19=1,$M$13,IF($C$19=2,$M$13/2,IF($C$19=3,$M$13/3,IF($C$19=4,$M$13/4,IF($C$19=5,$M$13/5)))))))</f>
        <v>0</v>
      </c>
      <c r="AZ57" s="231">
        <f>IF(SUM($C$57:AY57)=$M$13,0,IF(AZ56="0",IF($C$19=1,$M$13,IF($C$19=2,$M$13/2,IF($C$19=3,$M$13/3,IF($C$19=4,$M$13/4,IF($C$19=5,$M$13/5)))))))</f>
        <v>0</v>
      </c>
      <c r="BA57" s="231">
        <f>IF(SUM($C$57:AZ57)=$M$13,0,IF(BA56="0",IF($C$19=1,$M$13,IF($C$19=2,$M$13/2,IF($C$19=3,$M$13/3,IF($C$19=4,$M$13/4,IF($C$19=5,$M$13/5)))))))</f>
        <v>0</v>
      </c>
      <c r="BB57" s="231">
        <f>IF(SUM($C$57:BA57)=$M$13,0,IF(BB56="0",IF($C$19=1,$M$13,IF($C$19=2,$M$13/2,IF($C$19=3,$M$13/3,IF($C$19=4,$M$13/4,IF($C$19=5,$M$13/5)))))))</f>
        <v>0</v>
      </c>
      <c r="BC57" s="231">
        <f>IF(SUM($C$57:BB57)=$M$13,0,IF(BC56="0",IF($C$19=1,$M$13,IF($C$19=2,$M$13/2,IF($C$19=3,$M$13/3,IF($C$19=4,$M$13/4,IF($C$19=5,$M$13/5)))))))</f>
        <v>0</v>
      </c>
      <c r="BD57" s="231">
        <f>IF(SUM($C$57:BC57)=$M$13,0,IF(BD56="0",IF($C$19=1,$M$13,IF($C$19=2,$M$13/2,IF($C$19=3,$M$13/3,IF($C$19=4,$M$13/4,IF($C$19=5,$M$13/5)))))))</f>
        <v>0</v>
      </c>
    </row>
    <row r="58" spans="1:56" s="151" customFormat="1" outlineLevel="1" x14ac:dyDescent="0.25">
      <c r="A58" s="18" t="s">
        <v>467</v>
      </c>
      <c r="B58" s="296" t="str">
        <f t="shared" ref="B58:AG58" si="25">IF(SUM(B56:B57)&gt;0,"0",$I$23)</f>
        <v>0</v>
      </c>
      <c r="C58" s="296" t="str">
        <f t="shared" si="25"/>
        <v>0</v>
      </c>
      <c r="D58" s="296" t="str">
        <f t="shared" si="25"/>
        <v>0</v>
      </c>
      <c r="E58" s="296">
        <f t="shared" si="25"/>
        <v>1500</v>
      </c>
      <c r="F58" s="296">
        <f t="shared" si="25"/>
        <v>1500</v>
      </c>
      <c r="G58" s="296">
        <f t="shared" si="25"/>
        <v>1500</v>
      </c>
      <c r="H58" s="296">
        <f t="shared" si="25"/>
        <v>1500</v>
      </c>
      <c r="I58" s="296">
        <f t="shared" si="25"/>
        <v>1500</v>
      </c>
      <c r="J58" s="296">
        <f t="shared" si="25"/>
        <v>1500</v>
      </c>
      <c r="K58" s="296">
        <f t="shared" si="25"/>
        <v>1500</v>
      </c>
      <c r="L58" s="296">
        <f t="shared" si="25"/>
        <v>1500</v>
      </c>
      <c r="M58" s="296">
        <f t="shared" si="25"/>
        <v>1500</v>
      </c>
      <c r="N58" s="296">
        <f t="shared" si="25"/>
        <v>1500</v>
      </c>
      <c r="O58" s="296">
        <f t="shared" si="25"/>
        <v>1500</v>
      </c>
      <c r="P58" s="296">
        <f t="shared" si="25"/>
        <v>1500</v>
      </c>
      <c r="Q58" s="296">
        <f t="shared" si="25"/>
        <v>1500</v>
      </c>
      <c r="R58" s="296">
        <f t="shared" si="25"/>
        <v>1500</v>
      </c>
      <c r="S58" s="296">
        <f t="shared" si="25"/>
        <v>1500</v>
      </c>
      <c r="T58" s="296">
        <f t="shared" si="25"/>
        <v>1500</v>
      </c>
      <c r="U58" s="296">
        <f t="shared" si="25"/>
        <v>1500</v>
      </c>
      <c r="V58" s="296">
        <f t="shared" si="25"/>
        <v>1500</v>
      </c>
      <c r="W58" s="296">
        <f t="shared" si="25"/>
        <v>1500</v>
      </c>
      <c r="X58" s="296">
        <f t="shared" si="25"/>
        <v>1500</v>
      </c>
      <c r="Y58" s="296">
        <f t="shared" si="25"/>
        <v>1500</v>
      </c>
      <c r="Z58" s="296">
        <f t="shared" si="25"/>
        <v>1500</v>
      </c>
      <c r="AA58" s="296">
        <f t="shared" si="25"/>
        <v>1500</v>
      </c>
      <c r="AB58" s="296">
        <f t="shared" si="25"/>
        <v>1500</v>
      </c>
      <c r="AC58" s="296">
        <f t="shared" si="25"/>
        <v>1500</v>
      </c>
      <c r="AD58" s="296">
        <f t="shared" si="25"/>
        <v>1500</v>
      </c>
      <c r="AE58" s="296">
        <f t="shared" si="25"/>
        <v>1500</v>
      </c>
      <c r="AF58" s="296">
        <f t="shared" si="25"/>
        <v>1500</v>
      </c>
      <c r="AG58" s="296">
        <f t="shared" si="25"/>
        <v>1500</v>
      </c>
      <c r="AH58" s="296">
        <f t="shared" ref="AH58:BD58" si="26">IF(SUM(AH56:AH57)&gt;0,"0",$I$23)</f>
        <v>1500</v>
      </c>
      <c r="AI58" s="296">
        <f t="shared" si="26"/>
        <v>1500</v>
      </c>
      <c r="AJ58" s="296">
        <f t="shared" si="26"/>
        <v>1500</v>
      </c>
      <c r="AK58" s="296">
        <f t="shared" si="26"/>
        <v>1500</v>
      </c>
      <c r="AL58" s="296">
        <f t="shared" si="26"/>
        <v>1500</v>
      </c>
      <c r="AM58" s="296">
        <f t="shared" si="26"/>
        <v>1500</v>
      </c>
      <c r="AN58" s="296">
        <f t="shared" si="26"/>
        <v>1500</v>
      </c>
      <c r="AO58" s="296">
        <f t="shared" si="26"/>
        <v>1500</v>
      </c>
      <c r="AP58" s="296">
        <f t="shared" si="26"/>
        <v>1500</v>
      </c>
      <c r="AQ58" s="296">
        <f t="shared" si="26"/>
        <v>1500</v>
      </c>
      <c r="AR58" s="296">
        <f t="shared" si="26"/>
        <v>1500</v>
      </c>
      <c r="AS58" s="296">
        <f t="shared" si="26"/>
        <v>1500</v>
      </c>
      <c r="AT58" s="296">
        <f t="shared" si="26"/>
        <v>1500</v>
      </c>
      <c r="AU58" s="296">
        <f t="shared" si="26"/>
        <v>1500</v>
      </c>
      <c r="AV58" s="296">
        <f t="shared" si="26"/>
        <v>1500</v>
      </c>
      <c r="AW58" s="296">
        <f t="shared" si="26"/>
        <v>1500</v>
      </c>
      <c r="AX58" s="296">
        <f t="shared" si="26"/>
        <v>1500</v>
      </c>
      <c r="AY58" s="296">
        <f t="shared" si="26"/>
        <v>1500</v>
      </c>
      <c r="AZ58" s="296">
        <f t="shared" si="26"/>
        <v>1500</v>
      </c>
      <c r="BA58" s="296">
        <f t="shared" si="26"/>
        <v>1500</v>
      </c>
      <c r="BB58" s="296">
        <f t="shared" si="26"/>
        <v>1500</v>
      </c>
      <c r="BC58" s="296">
        <f t="shared" si="26"/>
        <v>1500</v>
      </c>
      <c r="BD58" s="296">
        <f t="shared" si="26"/>
        <v>1500</v>
      </c>
    </row>
    <row r="59" spans="1:56" s="151" customFormat="1" outlineLevel="1" x14ac:dyDescent="0.25">
      <c r="A59" s="18" t="s">
        <v>364</v>
      </c>
      <c r="B59" s="158">
        <f>I16</f>
        <v>200</v>
      </c>
      <c r="C59" s="194">
        <f>B59*(1+$I$17)</f>
        <v>202.99999999999997</v>
      </c>
      <c r="D59" s="194">
        <f t="shared" ref="D59:BD59" si="27">C59*(1+$I$17)</f>
        <v>206.04499999999996</v>
      </c>
      <c r="E59" s="194">
        <f t="shared" si="27"/>
        <v>209.13567499999994</v>
      </c>
      <c r="F59" s="194">
        <f t="shared" si="27"/>
        <v>212.27271012499992</v>
      </c>
      <c r="G59" s="194">
        <f t="shared" si="27"/>
        <v>215.4568007768749</v>
      </c>
      <c r="H59" s="194">
        <f t="shared" si="27"/>
        <v>218.688652788528</v>
      </c>
      <c r="I59" s="194">
        <f t="shared" si="27"/>
        <v>221.96898258035591</v>
      </c>
      <c r="J59" s="194">
        <f t="shared" si="27"/>
        <v>225.29851731906123</v>
      </c>
      <c r="K59" s="194">
        <f t="shared" si="27"/>
        <v>228.67799507884712</v>
      </c>
      <c r="L59" s="194">
        <f t="shared" si="27"/>
        <v>232.1081650050298</v>
      </c>
      <c r="M59" s="194">
        <f t="shared" si="27"/>
        <v>235.58978748010523</v>
      </c>
      <c r="N59" s="194">
        <f t="shared" si="27"/>
        <v>239.12363429230678</v>
      </c>
      <c r="O59" s="194">
        <f t="shared" si="27"/>
        <v>242.71048880669136</v>
      </c>
      <c r="P59" s="194">
        <f t="shared" si="27"/>
        <v>246.35114613879171</v>
      </c>
      <c r="Q59" s="194">
        <f t="shared" si="27"/>
        <v>250.04641333087355</v>
      </c>
      <c r="R59" s="194">
        <f t="shared" si="27"/>
        <v>253.79710953083662</v>
      </c>
      <c r="S59" s="194">
        <f t="shared" si="27"/>
        <v>257.60406617379914</v>
      </c>
      <c r="T59" s="194">
        <f t="shared" si="27"/>
        <v>261.46812716640608</v>
      </c>
      <c r="U59" s="194">
        <f t="shared" si="27"/>
        <v>265.39014907390214</v>
      </c>
      <c r="V59" s="194">
        <f t="shared" si="27"/>
        <v>269.37100131001063</v>
      </c>
      <c r="W59" s="194">
        <f t="shared" si="27"/>
        <v>273.41156632966079</v>
      </c>
      <c r="X59" s="194">
        <f t="shared" si="27"/>
        <v>277.51273982460566</v>
      </c>
      <c r="Y59" s="194">
        <f t="shared" si="27"/>
        <v>281.67543092197474</v>
      </c>
      <c r="Z59" s="194">
        <f t="shared" si="27"/>
        <v>285.90056238580434</v>
      </c>
      <c r="AA59" s="194">
        <f t="shared" si="27"/>
        <v>290.18907082159137</v>
      </c>
      <c r="AB59" s="194">
        <f t="shared" si="27"/>
        <v>294.5419068839152</v>
      </c>
      <c r="AC59" s="194">
        <f t="shared" si="27"/>
        <v>298.96003548717391</v>
      </c>
      <c r="AD59" s="194">
        <f t="shared" si="27"/>
        <v>303.44443601948149</v>
      </c>
      <c r="AE59" s="194">
        <f t="shared" si="27"/>
        <v>307.9961025597737</v>
      </c>
      <c r="AF59" s="194">
        <f t="shared" si="27"/>
        <v>312.61604409817028</v>
      </c>
      <c r="AG59" s="194">
        <f t="shared" si="27"/>
        <v>317.3052847596428</v>
      </c>
      <c r="AH59" s="194">
        <f t="shared" si="27"/>
        <v>322.06486403103742</v>
      </c>
      <c r="AI59" s="194">
        <f t="shared" si="27"/>
        <v>326.89583699150296</v>
      </c>
      <c r="AJ59" s="194">
        <f t="shared" si="27"/>
        <v>331.7992745463755</v>
      </c>
      <c r="AK59" s="194">
        <f t="shared" si="27"/>
        <v>336.7762636645711</v>
      </c>
      <c r="AL59" s="194">
        <f t="shared" si="27"/>
        <v>341.82790761953964</v>
      </c>
      <c r="AM59" s="194">
        <f t="shared" si="27"/>
        <v>346.95532623383269</v>
      </c>
      <c r="AN59" s="194">
        <f t="shared" si="27"/>
        <v>352.15965612734016</v>
      </c>
      <c r="AO59" s="194">
        <f t="shared" si="27"/>
        <v>357.4420509692502</v>
      </c>
      <c r="AP59" s="194">
        <f t="shared" si="27"/>
        <v>362.80368173378895</v>
      </c>
      <c r="AQ59" s="194">
        <f t="shared" si="27"/>
        <v>368.24573695979575</v>
      </c>
      <c r="AR59" s="194">
        <f t="shared" si="27"/>
        <v>373.76942301419263</v>
      </c>
      <c r="AS59" s="194">
        <f t="shared" si="27"/>
        <v>379.37596435940549</v>
      </c>
      <c r="AT59" s="194">
        <f t="shared" si="27"/>
        <v>385.06660382479652</v>
      </c>
      <c r="AU59" s="194">
        <f t="shared" si="27"/>
        <v>390.84260288216842</v>
      </c>
      <c r="AV59" s="194">
        <f t="shared" si="27"/>
        <v>396.70524192540091</v>
      </c>
      <c r="AW59" s="194">
        <f t="shared" si="27"/>
        <v>402.65582055428189</v>
      </c>
      <c r="AX59" s="194">
        <f t="shared" si="27"/>
        <v>408.69565786259608</v>
      </c>
      <c r="AY59" s="194">
        <f t="shared" si="27"/>
        <v>414.82609273053498</v>
      </c>
      <c r="AZ59" s="194">
        <f t="shared" si="27"/>
        <v>421.04848412149295</v>
      </c>
      <c r="BA59" s="194">
        <f t="shared" si="27"/>
        <v>427.36421138331531</v>
      </c>
      <c r="BB59" s="194">
        <f t="shared" si="27"/>
        <v>433.77467455406497</v>
      </c>
      <c r="BC59" s="194">
        <f t="shared" si="27"/>
        <v>440.28129467237591</v>
      </c>
      <c r="BD59" s="194">
        <f t="shared" si="27"/>
        <v>446.88551409246151</v>
      </c>
    </row>
    <row r="60" spans="1:56" s="151" customFormat="1" ht="17" outlineLevel="1" thickBot="1" x14ac:dyDescent="0.3">
      <c r="A60" s="18" t="s">
        <v>365</v>
      </c>
      <c r="B60" s="299">
        <f>B52*$I$18</f>
        <v>0</v>
      </c>
      <c r="C60" s="299">
        <f t="shared" ref="C60:BD60" si="28">C52*$I$18</f>
        <v>0</v>
      </c>
      <c r="D60" s="299">
        <f t="shared" si="28"/>
        <v>0</v>
      </c>
      <c r="E60" s="299">
        <f t="shared" si="28"/>
        <v>54.9</v>
      </c>
      <c r="F60" s="299">
        <f t="shared" si="28"/>
        <v>60.39</v>
      </c>
      <c r="G60" s="299">
        <f t="shared" si="28"/>
        <v>66.429000000000002</v>
      </c>
      <c r="H60" s="299">
        <f t="shared" si="28"/>
        <v>73.071900000000014</v>
      </c>
      <c r="I60" s="299">
        <f t="shared" si="28"/>
        <v>80.379090000000005</v>
      </c>
      <c r="J60" s="299">
        <f t="shared" si="28"/>
        <v>88.416999000000004</v>
      </c>
      <c r="K60" s="299">
        <f t="shared" si="28"/>
        <v>97.258698899999999</v>
      </c>
      <c r="L60" s="299">
        <f t="shared" si="28"/>
        <v>106.98456879</v>
      </c>
      <c r="M60" s="299">
        <f t="shared" si="28"/>
        <v>117.68302566899999</v>
      </c>
      <c r="N60" s="299">
        <f t="shared" si="28"/>
        <v>129.45132823590001</v>
      </c>
      <c r="O60" s="299">
        <f t="shared" si="28"/>
        <v>142.39646105949004</v>
      </c>
      <c r="P60" s="299">
        <f t="shared" si="28"/>
        <v>156.636107165439</v>
      </c>
      <c r="Q60" s="299">
        <f t="shared" si="28"/>
        <v>172.2997178819829</v>
      </c>
      <c r="R60" s="299">
        <f t="shared" si="28"/>
        <v>189.52968967018117</v>
      </c>
      <c r="S60" s="299">
        <f t="shared" si="28"/>
        <v>208.48265863719928</v>
      </c>
      <c r="T60" s="299">
        <f t="shared" si="28"/>
        <v>229.33092450091922</v>
      </c>
      <c r="U60" s="299">
        <f t="shared" si="28"/>
        <v>252.26401695101111</v>
      </c>
      <c r="V60" s="299">
        <f t="shared" si="28"/>
        <v>277.49041864611223</v>
      </c>
      <c r="W60" s="299">
        <f t="shared" si="28"/>
        <v>305.23946051072346</v>
      </c>
      <c r="X60" s="299">
        <f t="shared" si="28"/>
        <v>335.76340656179588</v>
      </c>
      <c r="Y60" s="299">
        <f t="shared" si="28"/>
        <v>369.33974721797546</v>
      </c>
      <c r="Z60" s="299">
        <f t="shared" si="28"/>
        <v>406.27372193977305</v>
      </c>
      <c r="AA60" s="299">
        <f t="shared" si="28"/>
        <v>446.90109413375023</v>
      </c>
      <c r="AB60" s="299">
        <f t="shared" si="28"/>
        <v>491.59120354712536</v>
      </c>
      <c r="AC60" s="299">
        <f t="shared" si="28"/>
        <v>540.75032390183787</v>
      </c>
      <c r="AD60" s="299">
        <f t="shared" si="28"/>
        <v>594.82535629202164</v>
      </c>
      <c r="AE60" s="299">
        <f t="shared" si="28"/>
        <v>654.30789192122381</v>
      </c>
      <c r="AF60" s="299">
        <f t="shared" si="28"/>
        <v>719.73868111334627</v>
      </c>
      <c r="AG60" s="299">
        <f t="shared" si="28"/>
        <v>791.71254922468097</v>
      </c>
      <c r="AH60" s="299">
        <f t="shared" si="28"/>
        <v>870.88380414714902</v>
      </c>
      <c r="AI60" s="299">
        <f t="shared" si="28"/>
        <v>957.97218456186386</v>
      </c>
      <c r="AJ60" s="299">
        <f t="shared" si="28"/>
        <v>1053.7694030180503</v>
      </c>
      <c r="AK60" s="299">
        <f t="shared" si="28"/>
        <v>1159.1463433198553</v>
      </c>
      <c r="AL60" s="299">
        <f t="shared" si="28"/>
        <v>1275.0609776518411</v>
      </c>
      <c r="AM60" s="299">
        <f t="shared" si="28"/>
        <v>1402.5670754170253</v>
      </c>
      <c r="AN60" s="299">
        <f t="shared" si="28"/>
        <v>1542.8237829587276</v>
      </c>
      <c r="AO60" s="299">
        <f t="shared" si="28"/>
        <v>1697.1061612546002</v>
      </c>
      <c r="AP60" s="299">
        <f t="shared" si="28"/>
        <v>1866.8167773800603</v>
      </c>
      <c r="AQ60" s="299">
        <f t="shared" si="28"/>
        <v>2053.4984551180669</v>
      </c>
      <c r="AR60" s="299">
        <f t="shared" si="28"/>
        <v>2258.8483006298734</v>
      </c>
      <c r="AS60" s="299">
        <f t="shared" si="28"/>
        <v>2484.7331306928604</v>
      </c>
      <c r="AT60" s="299">
        <f t="shared" si="28"/>
        <v>2733.206443762148</v>
      </c>
      <c r="AU60" s="299">
        <f t="shared" si="28"/>
        <v>3006.5270881383622</v>
      </c>
      <c r="AV60" s="299">
        <f t="shared" si="28"/>
        <v>3307.1797969521986</v>
      </c>
      <c r="AW60" s="299">
        <f t="shared" si="28"/>
        <v>3637.8977766474181</v>
      </c>
      <c r="AX60" s="299">
        <f t="shared" si="28"/>
        <v>4001.6875543121605</v>
      </c>
      <c r="AY60" s="299">
        <f t="shared" si="28"/>
        <v>4401.8563097433771</v>
      </c>
      <c r="AZ60" s="299">
        <f t="shared" si="28"/>
        <v>4842.0419407177142</v>
      </c>
      <c r="BA60" s="299">
        <f t="shared" si="28"/>
        <v>5326.246134789486</v>
      </c>
      <c r="BB60" s="299">
        <f t="shared" si="28"/>
        <v>5858.8707482684349</v>
      </c>
      <c r="BC60" s="299">
        <f t="shared" si="28"/>
        <v>6444.7578230952777</v>
      </c>
      <c r="BD60" s="299">
        <f t="shared" si="28"/>
        <v>7089.2336054048083</v>
      </c>
    </row>
    <row r="61" spans="1:56" x14ac:dyDescent="0.25">
      <c r="A61" s="113" t="s">
        <v>248</v>
      </c>
      <c r="B61" s="191">
        <f>SUM(B56:B60)</f>
        <v>5471</v>
      </c>
      <c r="C61" s="191">
        <f t="shared" ref="C61:BD61" si="29">SUM(C56:C60)</f>
        <v>5474</v>
      </c>
      <c r="D61" s="191">
        <f t="shared" si="29"/>
        <v>5939.0450000000001</v>
      </c>
      <c r="E61" s="191">
        <f t="shared" si="29"/>
        <v>1764.0356750000001</v>
      </c>
      <c r="F61" s="191">
        <f t="shared" si="29"/>
        <v>1772.6627101250001</v>
      </c>
      <c r="G61" s="191">
        <f t="shared" si="29"/>
        <v>1781.8858007768749</v>
      </c>
      <c r="H61" s="191">
        <f t="shared" si="29"/>
        <v>1791.760552788528</v>
      </c>
      <c r="I61" s="191">
        <f t="shared" si="29"/>
        <v>1802.3480725803558</v>
      </c>
      <c r="J61" s="191">
        <f t="shared" si="29"/>
        <v>1813.7155163190612</v>
      </c>
      <c r="K61" s="191">
        <f t="shared" si="29"/>
        <v>1825.936693978847</v>
      </c>
      <c r="L61" s="191">
        <f t="shared" si="29"/>
        <v>1839.0927337950297</v>
      </c>
      <c r="M61" s="191">
        <f t="shared" si="29"/>
        <v>1853.2728131491053</v>
      </c>
      <c r="N61" s="191">
        <f t="shared" si="29"/>
        <v>1868.5749625282069</v>
      </c>
      <c r="O61" s="191">
        <f t="shared" si="29"/>
        <v>1885.1069498661814</v>
      </c>
      <c r="P61" s="191">
        <f t="shared" si="29"/>
        <v>1902.9872533042305</v>
      </c>
      <c r="Q61" s="191">
        <f t="shared" si="29"/>
        <v>1922.3461312128563</v>
      </c>
      <c r="R61" s="191">
        <f t="shared" si="29"/>
        <v>1943.3267992010178</v>
      </c>
      <c r="S61" s="191">
        <f t="shared" si="29"/>
        <v>1966.0867248109985</v>
      </c>
      <c r="T61" s="191">
        <f t="shared" si="29"/>
        <v>1990.7990516673253</v>
      </c>
      <c r="U61" s="191">
        <f t="shared" si="29"/>
        <v>2017.6541660249134</v>
      </c>
      <c r="V61" s="191">
        <f t="shared" si="29"/>
        <v>2046.8614199561227</v>
      </c>
      <c r="W61" s="191">
        <f t="shared" si="29"/>
        <v>2078.651026840384</v>
      </c>
      <c r="X61" s="191">
        <f t="shared" si="29"/>
        <v>2113.2761463864017</v>
      </c>
      <c r="Y61" s="191">
        <f t="shared" si="29"/>
        <v>2151.0151781399504</v>
      </c>
      <c r="Z61" s="191">
        <f t="shared" si="29"/>
        <v>2192.1742843255774</v>
      </c>
      <c r="AA61" s="191">
        <f t="shared" si="29"/>
        <v>2237.0901649553416</v>
      </c>
      <c r="AB61" s="191">
        <f t="shared" si="29"/>
        <v>2286.1331104310402</v>
      </c>
      <c r="AC61" s="191">
        <f t="shared" si="29"/>
        <v>2339.7103593890115</v>
      </c>
      <c r="AD61" s="191">
        <f t="shared" si="29"/>
        <v>2398.2697923115034</v>
      </c>
      <c r="AE61" s="191">
        <f t="shared" si="29"/>
        <v>2462.3039944809975</v>
      </c>
      <c r="AF61" s="191">
        <f t="shared" si="29"/>
        <v>2532.3547252115168</v>
      </c>
      <c r="AG61" s="191">
        <f t="shared" si="29"/>
        <v>2609.0178339843237</v>
      </c>
      <c r="AH61" s="191">
        <f t="shared" si="29"/>
        <v>2692.9486681781864</v>
      </c>
      <c r="AI61" s="191">
        <f t="shared" si="29"/>
        <v>2784.8680215533668</v>
      </c>
      <c r="AJ61" s="191">
        <f t="shared" si="29"/>
        <v>2885.5686775644258</v>
      </c>
      <c r="AK61" s="191">
        <f t="shared" si="29"/>
        <v>2995.9226069844262</v>
      </c>
      <c r="AL61" s="191">
        <f t="shared" si="29"/>
        <v>3116.8888852713808</v>
      </c>
      <c r="AM61" s="191">
        <f t="shared" si="29"/>
        <v>3249.5224016508582</v>
      </c>
      <c r="AN61" s="191">
        <f t="shared" si="29"/>
        <v>3394.9834390860678</v>
      </c>
      <c r="AO61" s="191">
        <f t="shared" si="29"/>
        <v>3554.5482122238504</v>
      </c>
      <c r="AP61" s="191">
        <f t="shared" si="29"/>
        <v>3729.6204591138494</v>
      </c>
      <c r="AQ61" s="191">
        <f t="shared" si="29"/>
        <v>3921.7441920778629</v>
      </c>
      <c r="AR61" s="191">
        <f t="shared" si="29"/>
        <v>4132.6177236440662</v>
      </c>
      <c r="AS61" s="191">
        <f t="shared" si="29"/>
        <v>4364.1090950522657</v>
      </c>
      <c r="AT61" s="191">
        <f t="shared" si="29"/>
        <v>4618.2730475869448</v>
      </c>
      <c r="AU61" s="191">
        <f t="shared" si="29"/>
        <v>4897.3696910205308</v>
      </c>
      <c r="AV61" s="191">
        <f t="shared" si="29"/>
        <v>5203.8850388775991</v>
      </c>
      <c r="AW61" s="191">
        <f t="shared" si="29"/>
        <v>5540.5535972017005</v>
      </c>
      <c r="AX61" s="191">
        <f t="shared" si="29"/>
        <v>5910.3832121747564</v>
      </c>
      <c r="AY61" s="191">
        <f t="shared" si="29"/>
        <v>6316.6824024739126</v>
      </c>
      <c r="AZ61" s="191">
        <f t="shared" si="29"/>
        <v>6763.0904248392071</v>
      </c>
      <c r="BA61" s="191">
        <f t="shared" si="29"/>
        <v>7253.6103461728017</v>
      </c>
      <c r="BB61" s="191">
        <f t="shared" si="29"/>
        <v>7792.6454228224993</v>
      </c>
      <c r="BC61" s="191">
        <f t="shared" si="29"/>
        <v>8385.0391177676538</v>
      </c>
      <c r="BD61" s="191">
        <f t="shared" si="29"/>
        <v>9036.1191194972707</v>
      </c>
    </row>
    <row r="62" spans="1:56" x14ac:dyDescent="0.25">
      <c r="A62" s="129" t="s">
        <v>626</v>
      </c>
      <c r="B62" s="229">
        <f>B61-B56-B57</f>
        <v>200</v>
      </c>
      <c r="C62" s="229">
        <f t="shared" ref="C62:BD62" si="30">C61-C56-C57</f>
        <v>203</v>
      </c>
      <c r="D62" s="229">
        <f t="shared" si="30"/>
        <v>206.04500000000007</v>
      </c>
      <c r="E62" s="229">
        <f t="shared" si="30"/>
        <v>1764.0356750000001</v>
      </c>
      <c r="F62" s="229">
        <f t="shared" si="30"/>
        <v>1772.6627101250001</v>
      </c>
      <c r="G62" s="229">
        <f t="shared" si="30"/>
        <v>1781.8858007768749</v>
      </c>
      <c r="H62" s="229">
        <f t="shared" si="30"/>
        <v>1791.760552788528</v>
      </c>
      <c r="I62" s="229">
        <f t="shared" si="30"/>
        <v>1802.3480725803558</v>
      </c>
      <c r="J62" s="229">
        <f t="shared" si="30"/>
        <v>1813.7155163190612</v>
      </c>
      <c r="K62" s="229">
        <f t="shared" si="30"/>
        <v>1825.936693978847</v>
      </c>
      <c r="L62" s="229">
        <f t="shared" si="30"/>
        <v>1839.0927337950297</v>
      </c>
      <c r="M62" s="229">
        <f t="shared" si="30"/>
        <v>1853.2728131491053</v>
      </c>
      <c r="N62" s="229">
        <f t="shared" si="30"/>
        <v>1868.5749625282069</v>
      </c>
      <c r="O62" s="229">
        <f t="shared" si="30"/>
        <v>1885.1069498661814</v>
      </c>
      <c r="P62" s="229">
        <f t="shared" si="30"/>
        <v>1902.9872533042305</v>
      </c>
      <c r="Q62" s="229">
        <f t="shared" si="30"/>
        <v>1922.3461312128563</v>
      </c>
      <c r="R62" s="229">
        <f t="shared" si="30"/>
        <v>1943.3267992010178</v>
      </c>
      <c r="S62" s="229">
        <f t="shared" si="30"/>
        <v>1966.0867248109985</v>
      </c>
      <c r="T62" s="229">
        <f t="shared" si="30"/>
        <v>1990.7990516673253</v>
      </c>
      <c r="U62" s="229">
        <f t="shared" si="30"/>
        <v>2017.6541660249134</v>
      </c>
      <c r="V62" s="229">
        <f t="shared" si="30"/>
        <v>2046.8614199561227</v>
      </c>
      <c r="W62" s="229">
        <f t="shared" si="30"/>
        <v>2078.651026840384</v>
      </c>
      <c r="X62" s="229">
        <f t="shared" si="30"/>
        <v>2113.2761463864017</v>
      </c>
      <c r="Y62" s="229">
        <f t="shared" si="30"/>
        <v>2151.0151781399504</v>
      </c>
      <c r="Z62" s="229">
        <f t="shared" si="30"/>
        <v>2192.1742843255774</v>
      </c>
      <c r="AA62" s="229">
        <f t="shared" si="30"/>
        <v>2237.0901649553416</v>
      </c>
      <c r="AB62" s="229">
        <f t="shared" si="30"/>
        <v>2286.1331104310402</v>
      </c>
      <c r="AC62" s="229">
        <f t="shared" si="30"/>
        <v>2339.7103593890115</v>
      </c>
      <c r="AD62" s="229">
        <f t="shared" si="30"/>
        <v>2398.2697923115034</v>
      </c>
      <c r="AE62" s="229">
        <f t="shared" si="30"/>
        <v>2462.3039944809975</v>
      </c>
      <c r="AF62" s="229">
        <f t="shared" si="30"/>
        <v>2532.3547252115168</v>
      </c>
      <c r="AG62" s="229">
        <f t="shared" si="30"/>
        <v>2609.0178339843237</v>
      </c>
      <c r="AH62" s="229">
        <f t="shared" si="30"/>
        <v>2692.9486681781864</v>
      </c>
      <c r="AI62" s="229">
        <f t="shared" si="30"/>
        <v>2784.8680215533668</v>
      </c>
      <c r="AJ62" s="229">
        <f t="shared" si="30"/>
        <v>2885.5686775644258</v>
      </c>
      <c r="AK62" s="229">
        <f t="shared" si="30"/>
        <v>2995.9226069844262</v>
      </c>
      <c r="AL62" s="229">
        <f t="shared" si="30"/>
        <v>3116.8888852713808</v>
      </c>
      <c r="AM62" s="229">
        <f t="shared" si="30"/>
        <v>3249.5224016508582</v>
      </c>
      <c r="AN62" s="229">
        <f t="shared" si="30"/>
        <v>3394.9834390860678</v>
      </c>
      <c r="AO62" s="229">
        <f t="shared" si="30"/>
        <v>3554.5482122238504</v>
      </c>
      <c r="AP62" s="229">
        <f t="shared" si="30"/>
        <v>3729.6204591138494</v>
      </c>
      <c r="AQ62" s="229">
        <f t="shared" si="30"/>
        <v>3921.7441920778629</v>
      </c>
      <c r="AR62" s="229">
        <f t="shared" si="30"/>
        <v>4132.6177236440662</v>
      </c>
      <c r="AS62" s="229">
        <f t="shared" si="30"/>
        <v>4364.1090950522657</v>
      </c>
      <c r="AT62" s="229">
        <f t="shared" si="30"/>
        <v>4618.2730475869448</v>
      </c>
      <c r="AU62" s="229">
        <f t="shared" si="30"/>
        <v>4897.3696910205308</v>
      </c>
      <c r="AV62" s="229">
        <f t="shared" si="30"/>
        <v>5203.8850388775991</v>
      </c>
      <c r="AW62" s="229">
        <f t="shared" si="30"/>
        <v>5540.5535972017005</v>
      </c>
      <c r="AX62" s="229">
        <f t="shared" si="30"/>
        <v>5910.3832121747564</v>
      </c>
      <c r="AY62" s="229">
        <f t="shared" si="30"/>
        <v>6316.6824024739126</v>
      </c>
      <c r="AZ62" s="229">
        <f t="shared" si="30"/>
        <v>6763.0904248392071</v>
      </c>
      <c r="BA62" s="229">
        <f t="shared" si="30"/>
        <v>7253.6103461728017</v>
      </c>
      <c r="BB62" s="229">
        <f t="shared" si="30"/>
        <v>7792.6454228224993</v>
      </c>
      <c r="BC62" s="229">
        <f t="shared" si="30"/>
        <v>8385.0391177676538</v>
      </c>
      <c r="BD62" s="229">
        <f t="shared" si="30"/>
        <v>9036.1191194972707</v>
      </c>
    </row>
    <row r="64" spans="1:56" x14ac:dyDescent="0.25">
      <c r="A64" s="3" t="s">
        <v>56</v>
      </c>
      <c r="B64" s="131">
        <f>B55</f>
        <v>44256</v>
      </c>
      <c r="C64" s="131">
        <f t="shared" ref="C64:BD64" si="31">C55</f>
        <v>44287</v>
      </c>
      <c r="D64" s="131">
        <f t="shared" si="31"/>
        <v>44318</v>
      </c>
      <c r="E64" s="131">
        <f t="shared" si="31"/>
        <v>44349</v>
      </c>
      <c r="F64" s="131">
        <f t="shared" si="31"/>
        <v>44380</v>
      </c>
      <c r="G64" s="131">
        <f t="shared" si="31"/>
        <v>44411</v>
      </c>
      <c r="H64" s="131">
        <f t="shared" si="31"/>
        <v>44442</v>
      </c>
      <c r="I64" s="131">
        <f t="shared" si="31"/>
        <v>44473</v>
      </c>
      <c r="J64" s="131">
        <f t="shared" si="31"/>
        <v>44504</v>
      </c>
      <c r="K64" s="131">
        <f t="shared" si="31"/>
        <v>44535</v>
      </c>
      <c r="L64" s="131">
        <f t="shared" si="31"/>
        <v>44566</v>
      </c>
      <c r="M64" s="131">
        <f t="shared" si="31"/>
        <v>44597</v>
      </c>
      <c r="N64" s="131">
        <f t="shared" si="31"/>
        <v>44628</v>
      </c>
      <c r="O64" s="131">
        <f t="shared" si="31"/>
        <v>44659</v>
      </c>
      <c r="P64" s="131">
        <f t="shared" si="31"/>
        <v>44690</v>
      </c>
      <c r="Q64" s="131">
        <f t="shared" si="31"/>
        <v>44721</v>
      </c>
      <c r="R64" s="131">
        <f t="shared" si="31"/>
        <v>44752</v>
      </c>
      <c r="S64" s="131">
        <f t="shared" si="31"/>
        <v>44783</v>
      </c>
      <c r="T64" s="131">
        <f t="shared" si="31"/>
        <v>44814</v>
      </c>
      <c r="U64" s="131">
        <f t="shared" si="31"/>
        <v>44845</v>
      </c>
      <c r="V64" s="131">
        <f t="shared" si="31"/>
        <v>44876</v>
      </c>
      <c r="W64" s="131">
        <f t="shared" si="31"/>
        <v>44907</v>
      </c>
      <c r="X64" s="131">
        <f t="shared" si="31"/>
        <v>44938</v>
      </c>
      <c r="Y64" s="131">
        <f t="shared" si="31"/>
        <v>44969</v>
      </c>
      <c r="Z64" s="131">
        <f t="shared" si="31"/>
        <v>45000</v>
      </c>
      <c r="AA64" s="131">
        <f t="shared" si="31"/>
        <v>45031</v>
      </c>
      <c r="AB64" s="131">
        <f t="shared" si="31"/>
        <v>45062</v>
      </c>
      <c r="AC64" s="131">
        <f t="shared" si="31"/>
        <v>45093</v>
      </c>
      <c r="AD64" s="131">
        <f t="shared" si="31"/>
        <v>45124</v>
      </c>
      <c r="AE64" s="131">
        <f t="shared" si="31"/>
        <v>45155</v>
      </c>
      <c r="AF64" s="131">
        <f t="shared" si="31"/>
        <v>45186</v>
      </c>
      <c r="AG64" s="131">
        <f t="shared" si="31"/>
        <v>45217</v>
      </c>
      <c r="AH64" s="131">
        <f t="shared" si="31"/>
        <v>45248</v>
      </c>
      <c r="AI64" s="131">
        <f t="shared" si="31"/>
        <v>45279</v>
      </c>
      <c r="AJ64" s="131">
        <f t="shared" si="31"/>
        <v>45310</v>
      </c>
      <c r="AK64" s="131">
        <f t="shared" si="31"/>
        <v>45341</v>
      </c>
      <c r="AL64" s="131">
        <f t="shared" si="31"/>
        <v>45372</v>
      </c>
      <c r="AM64" s="131">
        <f t="shared" si="31"/>
        <v>45403</v>
      </c>
      <c r="AN64" s="131">
        <f t="shared" si="31"/>
        <v>45434</v>
      </c>
      <c r="AO64" s="131">
        <f t="shared" si="31"/>
        <v>45465</v>
      </c>
      <c r="AP64" s="131">
        <f t="shared" si="31"/>
        <v>45496</v>
      </c>
      <c r="AQ64" s="131">
        <f t="shared" si="31"/>
        <v>45527</v>
      </c>
      <c r="AR64" s="131">
        <f t="shared" si="31"/>
        <v>45558</v>
      </c>
      <c r="AS64" s="131">
        <f t="shared" si="31"/>
        <v>45589</v>
      </c>
      <c r="AT64" s="131">
        <f t="shared" si="31"/>
        <v>45620</v>
      </c>
      <c r="AU64" s="131">
        <f t="shared" si="31"/>
        <v>45651</v>
      </c>
      <c r="AV64" s="131">
        <f t="shared" si="31"/>
        <v>45682</v>
      </c>
      <c r="AW64" s="131">
        <f t="shared" si="31"/>
        <v>45713</v>
      </c>
      <c r="AX64" s="131">
        <f t="shared" si="31"/>
        <v>45744</v>
      </c>
      <c r="AY64" s="131">
        <f t="shared" si="31"/>
        <v>45775</v>
      </c>
      <c r="AZ64" s="131">
        <f t="shared" si="31"/>
        <v>45806</v>
      </c>
      <c r="BA64" s="131">
        <f t="shared" si="31"/>
        <v>45837</v>
      </c>
      <c r="BB64" s="131">
        <f t="shared" si="31"/>
        <v>45868</v>
      </c>
      <c r="BC64" s="131">
        <f t="shared" si="31"/>
        <v>45899</v>
      </c>
      <c r="BD64" s="131">
        <f t="shared" si="31"/>
        <v>45930</v>
      </c>
    </row>
    <row r="65" spans="1:56" outlineLevel="1" x14ac:dyDescent="0.25">
      <c r="A65" s="18" t="s">
        <v>249</v>
      </c>
      <c r="B65" s="114">
        <f t="shared" ref="B65:BD65" si="32">B52</f>
        <v>0</v>
      </c>
      <c r="C65" s="114">
        <f t="shared" si="32"/>
        <v>0</v>
      </c>
      <c r="D65" s="114">
        <f t="shared" si="32"/>
        <v>0</v>
      </c>
      <c r="E65" s="114">
        <f t="shared" si="32"/>
        <v>5490</v>
      </c>
      <c r="F65" s="114">
        <f t="shared" si="32"/>
        <v>6039</v>
      </c>
      <c r="G65" s="114">
        <f t="shared" si="32"/>
        <v>6642.9000000000005</v>
      </c>
      <c r="H65" s="114">
        <f t="shared" si="32"/>
        <v>7307.1900000000014</v>
      </c>
      <c r="I65" s="114">
        <f t="shared" si="32"/>
        <v>8037.9089999999997</v>
      </c>
      <c r="J65" s="114">
        <f t="shared" si="32"/>
        <v>8841.6998999999996</v>
      </c>
      <c r="K65" s="114">
        <f t="shared" si="32"/>
        <v>9725.8698899999999</v>
      </c>
      <c r="L65" s="114">
        <f t="shared" si="32"/>
        <v>10698.456878999999</v>
      </c>
      <c r="M65" s="114">
        <f t="shared" si="32"/>
        <v>11768.302566899998</v>
      </c>
      <c r="N65" s="114">
        <f t="shared" si="32"/>
        <v>12945.13282359</v>
      </c>
      <c r="O65" s="114">
        <f t="shared" si="32"/>
        <v>14239.646105949003</v>
      </c>
      <c r="P65" s="114">
        <f t="shared" si="32"/>
        <v>15663.610716543901</v>
      </c>
      <c r="Q65" s="114">
        <f t="shared" si="32"/>
        <v>17229.971788198291</v>
      </c>
      <c r="R65" s="114">
        <f t="shared" si="32"/>
        <v>18952.968967018118</v>
      </c>
      <c r="S65" s="114">
        <f t="shared" si="32"/>
        <v>20848.265863719927</v>
      </c>
      <c r="T65" s="114">
        <f t="shared" si="32"/>
        <v>22933.092450091921</v>
      </c>
      <c r="U65" s="114">
        <f t="shared" si="32"/>
        <v>25226.401695101111</v>
      </c>
      <c r="V65" s="114">
        <f t="shared" si="32"/>
        <v>27749.041864611223</v>
      </c>
      <c r="W65" s="114">
        <f t="shared" si="32"/>
        <v>30523.946051072347</v>
      </c>
      <c r="X65" s="114">
        <f t="shared" si="32"/>
        <v>33576.340656179585</v>
      </c>
      <c r="Y65" s="114">
        <f t="shared" si="32"/>
        <v>36933.974721797545</v>
      </c>
      <c r="Z65" s="114">
        <f t="shared" si="32"/>
        <v>40627.372193977302</v>
      </c>
      <c r="AA65" s="114">
        <f t="shared" si="32"/>
        <v>44690.109413375023</v>
      </c>
      <c r="AB65" s="114">
        <f t="shared" si="32"/>
        <v>49159.120354712533</v>
      </c>
      <c r="AC65" s="114">
        <f t="shared" si="32"/>
        <v>54075.032390183784</v>
      </c>
      <c r="AD65" s="114">
        <f t="shared" si="32"/>
        <v>59482.535629202161</v>
      </c>
      <c r="AE65" s="114">
        <f t="shared" si="32"/>
        <v>65430.789192122385</v>
      </c>
      <c r="AF65" s="114">
        <f t="shared" si="32"/>
        <v>71973.868111334625</v>
      </c>
      <c r="AG65" s="114">
        <f t="shared" si="32"/>
        <v>79171.254922468099</v>
      </c>
      <c r="AH65" s="114">
        <f t="shared" si="32"/>
        <v>87088.380414714906</v>
      </c>
      <c r="AI65" s="114">
        <f t="shared" si="32"/>
        <v>95797.218456186383</v>
      </c>
      <c r="AJ65" s="114">
        <f t="shared" si="32"/>
        <v>105376.94030180502</v>
      </c>
      <c r="AK65" s="114">
        <f t="shared" si="32"/>
        <v>115914.63433198552</v>
      </c>
      <c r="AL65" s="114">
        <f t="shared" si="32"/>
        <v>127506.09776518411</v>
      </c>
      <c r="AM65" s="114">
        <f t="shared" si="32"/>
        <v>140256.70754170252</v>
      </c>
      <c r="AN65" s="114">
        <f t="shared" si="32"/>
        <v>154282.37829587277</v>
      </c>
      <c r="AO65" s="114">
        <f t="shared" si="32"/>
        <v>169710.61612546002</v>
      </c>
      <c r="AP65" s="114">
        <f t="shared" si="32"/>
        <v>186681.67773800602</v>
      </c>
      <c r="AQ65" s="114">
        <f t="shared" si="32"/>
        <v>205349.84551180669</v>
      </c>
      <c r="AR65" s="114">
        <f t="shared" si="32"/>
        <v>225884.83006298734</v>
      </c>
      <c r="AS65" s="114">
        <f t="shared" si="32"/>
        <v>248473.31306928606</v>
      </c>
      <c r="AT65" s="114">
        <f t="shared" si="32"/>
        <v>273320.64437621477</v>
      </c>
      <c r="AU65" s="114">
        <f t="shared" si="32"/>
        <v>300652.70881383622</v>
      </c>
      <c r="AV65" s="114">
        <f t="shared" si="32"/>
        <v>330717.97969521984</v>
      </c>
      <c r="AW65" s="114">
        <f t="shared" si="32"/>
        <v>363789.77766474179</v>
      </c>
      <c r="AX65" s="114">
        <f t="shared" si="32"/>
        <v>400168.75543121604</v>
      </c>
      <c r="AY65" s="114">
        <f t="shared" si="32"/>
        <v>440185.63097433769</v>
      </c>
      <c r="AZ65" s="114">
        <f t="shared" si="32"/>
        <v>484204.1940717714</v>
      </c>
      <c r="BA65" s="114">
        <f t="shared" si="32"/>
        <v>532624.6134789486</v>
      </c>
      <c r="BB65" s="114">
        <f t="shared" si="32"/>
        <v>585887.07482684345</v>
      </c>
      <c r="BC65" s="114">
        <f t="shared" si="32"/>
        <v>644475.78230952774</v>
      </c>
      <c r="BD65" s="114">
        <f t="shared" si="32"/>
        <v>708923.36054048082</v>
      </c>
    </row>
    <row r="66" spans="1:56" ht="17" outlineLevel="1" thickBot="1" x14ac:dyDescent="0.3">
      <c r="A66" s="18" t="s">
        <v>112</v>
      </c>
      <c r="B66" s="114">
        <f t="shared" ref="B66:BD66" si="33">B61</f>
        <v>5471</v>
      </c>
      <c r="C66" s="114">
        <f t="shared" si="33"/>
        <v>5474</v>
      </c>
      <c r="D66" s="114">
        <f t="shared" si="33"/>
        <v>5939.0450000000001</v>
      </c>
      <c r="E66" s="114">
        <f t="shared" si="33"/>
        <v>1764.0356750000001</v>
      </c>
      <c r="F66" s="114">
        <f t="shared" si="33"/>
        <v>1772.6627101250001</v>
      </c>
      <c r="G66" s="114">
        <f t="shared" si="33"/>
        <v>1781.8858007768749</v>
      </c>
      <c r="H66" s="114">
        <f t="shared" si="33"/>
        <v>1791.760552788528</v>
      </c>
      <c r="I66" s="114">
        <f t="shared" si="33"/>
        <v>1802.3480725803558</v>
      </c>
      <c r="J66" s="114">
        <f t="shared" si="33"/>
        <v>1813.7155163190612</v>
      </c>
      <c r="K66" s="114">
        <f t="shared" si="33"/>
        <v>1825.936693978847</v>
      </c>
      <c r="L66" s="114">
        <f t="shared" si="33"/>
        <v>1839.0927337950297</v>
      </c>
      <c r="M66" s="114">
        <f t="shared" si="33"/>
        <v>1853.2728131491053</v>
      </c>
      <c r="N66" s="114">
        <f t="shared" si="33"/>
        <v>1868.5749625282069</v>
      </c>
      <c r="O66" s="114">
        <f t="shared" si="33"/>
        <v>1885.1069498661814</v>
      </c>
      <c r="P66" s="114">
        <f t="shared" si="33"/>
        <v>1902.9872533042305</v>
      </c>
      <c r="Q66" s="114">
        <f t="shared" si="33"/>
        <v>1922.3461312128563</v>
      </c>
      <c r="R66" s="114">
        <f t="shared" si="33"/>
        <v>1943.3267992010178</v>
      </c>
      <c r="S66" s="114">
        <f t="shared" si="33"/>
        <v>1966.0867248109985</v>
      </c>
      <c r="T66" s="114">
        <f t="shared" si="33"/>
        <v>1990.7990516673253</v>
      </c>
      <c r="U66" s="114">
        <f t="shared" si="33"/>
        <v>2017.6541660249134</v>
      </c>
      <c r="V66" s="114">
        <f t="shared" si="33"/>
        <v>2046.8614199561227</v>
      </c>
      <c r="W66" s="114">
        <f t="shared" si="33"/>
        <v>2078.651026840384</v>
      </c>
      <c r="X66" s="114">
        <f t="shared" si="33"/>
        <v>2113.2761463864017</v>
      </c>
      <c r="Y66" s="114">
        <f t="shared" si="33"/>
        <v>2151.0151781399504</v>
      </c>
      <c r="Z66" s="114">
        <f t="shared" si="33"/>
        <v>2192.1742843255774</v>
      </c>
      <c r="AA66" s="114">
        <f t="shared" si="33"/>
        <v>2237.0901649553416</v>
      </c>
      <c r="AB66" s="114">
        <f t="shared" si="33"/>
        <v>2286.1331104310402</v>
      </c>
      <c r="AC66" s="114">
        <f t="shared" si="33"/>
        <v>2339.7103593890115</v>
      </c>
      <c r="AD66" s="114">
        <f t="shared" si="33"/>
        <v>2398.2697923115034</v>
      </c>
      <c r="AE66" s="114">
        <f t="shared" si="33"/>
        <v>2462.3039944809975</v>
      </c>
      <c r="AF66" s="114">
        <f t="shared" si="33"/>
        <v>2532.3547252115168</v>
      </c>
      <c r="AG66" s="114">
        <f t="shared" si="33"/>
        <v>2609.0178339843237</v>
      </c>
      <c r="AH66" s="114">
        <f t="shared" si="33"/>
        <v>2692.9486681781864</v>
      </c>
      <c r="AI66" s="114">
        <f t="shared" si="33"/>
        <v>2784.8680215533668</v>
      </c>
      <c r="AJ66" s="114">
        <f t="shared" si="33"/>
        <v>2885.5686775644258</v>
      </c>
      <c r="AK66" s="114">
        <f t="shared" si="33"/>
        <v>2995.9226069844262</v>
      </c>
      <c r="AL66" s="114">
        <f t="shared" si="33"/>
        <v>3116.8888852713808</v>
      </c>
      <c r="AM66" s="114">
        <f t="shared" si="33"/>
        <v>3249.5224016508582</v>
      </c>
      <c r="AN66" s="114">
        <f t="shared" si="33"/>
        <v>3394.9834390860678</v>
      </c>
      <c r="AO66" s="114">
        <f t="shared" si="33"/>
        <v>3554.5482122238504</v>
      </c>
      <c r="AP66" s="114">
        <f t="shared" si="33"/>
        <v>3729.6204591138494</v>
      </c>
      <c r="AQ66" s="114">
        <f t="shared" si="33"/>
        <v>3921.7441920778629</v>
      </c>
      <c r="AR66" s="114">
        <f t="shared" si="33"/>
        <v>4132.6177236440662</v>
      </c>
      <c r="AS66" s="114">
        <f t="shared" si="33"/>
        <v>4364.1090950522657</v>
      </c>
      <c r="AT66" s="114">
        <f t="shared" si="33"/>
        <v>4618.2730475869448</v>
      </c>
      <c r="AU66" s="114">
        <f t="shared" si="33"/>
        <v>4897.3696910205308</v>
      </c>
      <c r="AV66" s="114">
        <f t="shared" si="33"/>
        <v>5203.8850388775991</v>
      </c>
      <c r="AW66" s="114">
        <f t="shared" si="33"/>
        <v>5540.5535972017005</v>
      </c>
      <c r="AX66" s="114">
        <f t="shared" si="33"/>
        <v>5910.3832121747564</v>
      </c>
      <c r="AY66" s="114">
        <f t="shared" si="33"/>
        <v>6316.6824024739126</v>
      </c>
      <c r="AZ66" s="114">
        <f t="shared" si="33"/>
        <v>6763.0904248392071</v>
      </c>
      <c r="BA66" s="114">
        <f t="shared" si="33"/>
        <v>7253.6103461728017</v>
      </c>
      <c r="BB66" s="114">
        <f t="shared" si="33"/>
        <v>7792.6454228224993</v>
      </c>
      <c r="BC66" s="114">
        <f t="shared" si="33"/>
        <v>8385.0391177676538</v>
      </c>
      <c r="BD66" s="114">
        <f t="shared" si="33"/>
        <v>9036.1191194972707</v>
      </c>
    </row>
    <row r="67" spans="1:56" x14ac:dyDescent="0.25">
      <c r="A67" s="113" t="s">
        <v>250</v>
      </c>
      <c r="B67" s="120">
        <f>B65-B66</f>
        <v>-5471</v>
      </c>
      <c r="C67" s="120">
        <f t="shared" ref="C67:BD67" si="34">C65-C66</f>
        <v>-5474</v>
      </c>
      <c r="D67" s="120">
        <f t="shared" si="34"/>
        <v>-5939.0450000000001</v>
      </c>
      <c r="E67" s="120">
        <f t="shared" si="34"/>
        <v>3725.9643249999999</v>
      </c>
      <c r="F67" s="120">
        <f t="shared" si="34"/>
        <v>4266.3372898750004</v>
      </c>
      <c r="G67" s="120">
        <f t="shared" si="34"/>
        <v>4861.0141992231256</v>
      </c>
      <c r="H67" s="120">
        <f t="shared" si="34"/>
        <v>5515.4294472114734</v>
      </c>
      <c r="I67" s="120">
        <f t="shared" si="34"/>
        <v>6235.560927419644</v>
      </c>
      <c r="J67" s="120">
        <f t="shared" si="34"/>
        <v>7027.9843836809387</v>
      </c>
      <c r="K67" s="120">
        <f t="shared" si="34"/>
        <v>7899.933196021153</v>
      </c>
      <c r="L67" s="120">
        <f t="shared" si="34"/>
        <v>8859.3641452049706</v>
      </c>
      <c r="M67" s="120">
        <f t="shared" si="34"/>
        <v>9915.0297537508923</v>
      </c>
      <c r="N67" s="120">
        <f t="shared" si="34"/>
        <v>11076.557861061792</v>
      </c>
      <c r="O67" s="120">
        <f t="shared" si="34"/>
        <v>12354.539156082821</v>
      </c>
      <c r="P67" s="120">
        <f t="shared" si="34"/>
        <v>13760.62346323967</v>
      </c>
      <c r="Q67" s="120">
        <f t="shared" si="34"/>
        <v>15307.625656985434</v>
      </c>
      <c r="R67" s="120">
        <f t="shared" si="34"/>
        <v>17009.642167817099</v>
      </c>
      <c r="S67" s="120">
        <f t="shared" si="34"/>
        <v>18882.17913890893</v>
      </c>
      <c r="T67" s="120">
        <f t="shared" si="34"/>
        <v>20942.293398424597</v>
      </c>
      <c r="U67" s="120">
        <f t="shared" si="34"/>
        <v>23208.747529076198</v>
      </c>
      <c r="V67" s="120">
        <f t="shared" si="34"/>
        <v>25702.1804446551</v>
      </c>
      <c r="W67" s="120">
        <f t="shared" si="34"/>
        <v>28445.295024231964</v>
      </c>
      <c r="X67" s="120">
        <f t="shared" si="34"/>
        <v>31463.064509793185</v>
      </c>
      <c r="Y67" s="120">
        <f t="shared" si="34"/>
        <v>34782.959543657598</v>
      </c>
      <c r="Z67" s="120">
        <f t="shared" si="34"/>
        <v>38435.197909651724</v>
      </c>
      <c r="AA67" s="120">
        <f t="shared" si="34"/>
        <v>42453.019248419681</v>
      </c>
      <c r="AB67" s="120">
        <f t="shared" si="34"/>
        <v>46872.987244281496</v>
      </c>
      <c r="AC67" s="120">
        <f t="shared" si="34"/>
        <v>51735.32203079477</v>
      </c>
      <c r="AD67" s="120">
        <f t="shared" si="34"/>
        <v>57084.265836890656</v>
      </c>
      <c r="AE67" s="120">
        <f t="shared" si="34"/>
        <v>62968.485197641385</v>
      </c>
      <c r="AF67" s="120">
        <f t="shared" si="34"/>
        <v>69441.513386123115</v>
      </c>
      <c r="AG67" s="120">
        <f t="shared" si="34"/>
        <v>76562.237088483773</v>
      </c>
      <c r="AH67" s="120">
        <f t="shared" si="34"/>
        <v>84395.43174653672</v>
      </c>
      <c r="AI67" s="120">
        <f t="shared" si="34"/>
        <v>93012.350434633016</v>
      </c>
      <c r="AJ67" s="120">
        <f t="shared" si="34"/>
        <v>102491.37162424059</v>
      </c>
      <c r="AK67" s="120">
        <f t="shared" si="34"/>
        <v>112918.71172500109</v>
      </c>
      <c r="AL67" s="120">
        <f t="shared" si="34"/>
        <v>124389.20887991272</v>
      </c>
      <c r="AM67" s="120">
        <f t="shared" si="34"/>
        <v>137007.18514005165</v>
      </c>
      <c r="AN67" s="120">
        <f t="shared" si="34"/>
        <v>150887.3948567867</v>
      </c>
      <c r="AO67" s="120">
        <f t="shared" si="34"/>
        <v>166156.06791323615</v>
      </c>
      <c r="AP67" s="120">
        <f t="shared" si="34"/>
        <v>182952.05727889217</v>
      </c>
      <c r="AQ67" s="120">
        <f t="shared" si="34"/>
        <v>201428.10131972883</v>
      </c>
      <c r="AR67" s="120">
        <f t="shared" si="34"/>
        <v>221752.21233934327</v>
      </c>
      <c r="AS67" s="120">
        <f t="shared" si="34"/>
        <v>244109.20397423379</v>
      </c>
      <c r="AT67" s="120">
        <f t="shared" si="34"/>
        <v>268702.37132862781</v>
      </c>
      <c r="AU67" s="120">
        <f t="shared" si="34"/>
        <v>295755.3391228157</v>
      </c>
      <c r="AV67" s="120">
        <f t="shared" si="34"/>
        <v>325514.09465634223</v>
      </c>
      <c r="AW67" s="120">
        <f t="shared" si="34"/>
        <v>358249.22406754008</v>
      </c>
      <c r="AX67" s="120">
        <f t="shared" si="34"/>
        <v>394258.37221904128</v>
      </c>
      <c r="AY67" s="120">
        <f t="shared" si="34"/>
        <v>433868.94857186376</v>
      </c>
      <c r="AZ67" s="120">
        <f t="shared" si="34"/>
        <v>477441.10364693217</v>
      </c>
      <c r="BA67" s="120">
        <f t="shared" si="34"/>
        <v>525371.00313277578</v>
      </c>
      <c r="BB67" s="120">
        <f t="shared" si="34"/>
        <v>578094.42940402101</v>
      </c>
      <c r="BC67" s="120">
        <f t="shared" si="34"/>
        <v>636090.74319176003</v>
      </c>
      <c r="BD67" s="120">
        <f t="shared" si="34"/>
        <v>699887.24142098357</v>
      </c>
    </row>
    <row r="68" spans="1:56" x14ac:dyDescent="0.25">
      <c r="A68" s="2" t="s">
        <v>251</v>
      </c>
      <c r="B68" s="132" t="e">
        <f>B67/B65</f>
        <v>#DIV/0!</v>
      </c>
      <c r="C68" s="132" t="e">
        <f t="shared" ref="C68:BD68" si="35">C67/C65</f>
        <v>#DIV/0!</v>
      </c>
      <c r="D68" s="132" t="e">
        <f t="shared" si="35"/>
        <v>#DIV/0!</v>
      </c>
      <c r="E68" s="132">
        <f t="shared" si="35"/>
        <v>0.67868202641165754</v>
      </c>
      <c r="F68" s="132">
        <f t="shared" si="35"/>
        <v>0.70646419769415469</v>
      </c>
      <c r="G68" s="132">
        <f t="shared" si="35"/>
        <v>0.7317608573398855</v>
      </c>
      <c r="H68" s="132">
        <f t="shared" si="35"/>
        <v>0.75479485920189193</v>
      </c>
      <c r="I68" s="132">
        <f t="shared" si="35"/>
        <v>0.77576903737273517</v>
      </c>
      <c r="J68" s="132">
        <f t="shared" si="35"/>
        <v>0.79486800764193988</v>
      </c>
      <c r="K68" s="132">
        <f t="shared" si="35"/>
        <v>0.81225980661573016</v>
      </c>
      <c r="L68" s="132">
        <f t="shared" si="35"/>
        <v>0.82809738314644388</v>
      </c>
      <c r="M68" s="132">
        <f t="shared" si="35"/>
        <v>0.84251995539597224</v>
      </c>
      <c r="N68" s="132">
        <f t="shared" si="35"/>
        <v>0.85565424565415882</v>
      </c>
      <c r="O68" s="132">
        <f t="shared" si="35"/>
        <v>0.8676156039384556</v>
      </c>
      <c r="P68" s="132">
        <f t="shared" si="35"/>
        <v>0.87850903040546735</v>
      </c>
      <c r="Q68" s="132">
        <f t="shared" si="35"/>
        <v>0.88843010569932723</v>
      </c>
      <c r="R68" s="132">
        <f t="shared" si="35"/>
        <v>0.89746583753802434</v>
      </c>
      <c r="S68" s="132">
        <f t="shared" si="35"/>
        <v>0.90569543108943307</v>
      </c>
      <c r="T68" s="132">
        <f t="shared" si="35"/>
        <v>0.91319099000713511</v>
      </c>
      <c r="U68" s="132">
        <f t="shared" si="35"/>
        <v>0.92001815437606638</v>
      </c>
      <c r="V68" s="132">
        <f t="shared" si="35"/>
        <v>0.92623668125397451</v>
      </c>
      <c r="W68" s="132">
        <f t="shared" si="35"/>
        <v>0.93190097298159269</v>
      </c>
      <c r="X68" s="132">
        <f t="shared" si="35"/>
        <v>0.93706055796769916</v>
      </c>
      <c r="Y68" s="132">
        <f t="shared" si="35"/>
        <v>0.94176052823065182</v>
      </c>
      <c r="Z68" s="132">
        <f t="shared" si="35"/>
        <v>0.94604193759175614</v>
      </c>
      <c r="AA68" s="132">
        <f t="shared" si="35"/>
        <v>0.94994216406447607</v>
      </c>
      <c r="AB68" s="132">
        <f t="shared" si="35"/>
        <v>0.95349523966386673</v>
      </c>
      <c r="AC68" s="132">
        <f t="shared" si="35"/>
        <v>0.95673215056984895</v>
      </c>
      <c r="AD68" s="132">
        <f t="shared" si="35"/>
        <v>0.95968111031342607</v>
      </c>
      <c r="AE68" s="132">
        <f t="shared" si="35"/>
        <v>0.96236780841430758</v>
      </c>
      <c r="AF68" s="132">
        <f t="shared" si="35"/>
        <v>0.96481563667949222</v>
      </c>
      <c r="AG68" s="132">
        <f t="shared" si="35"/>
        <v>0.96704589517319994</v>
      </c>
      <c r="AH68" s="132">
        <f t="shared" si="35"/>
        <v>0.96907797968736631</v>
      </c>
      <c r="AI68" s="132">
        <f t="shared" si="35"/>
        <v>0.97092955237706569</v>
      </c>
      <c r="AJ68" s="132">
        <f t="shared" si="35"/>
        <v>0.97261669707528031</v>
      </c>
      <c r="AK68" s="132">
        <f t="shared" si="35"/>
        <v>0.97415406066498944</v>
      </c>
      <c r="AL68" s="132">
        <f t="shared" si="35"/>
        <v>0.97555498176242939</v>
      </c>
      <c r="AM68" s="132">
        <f t="shared" si="35"/>
        <v>0.9768316078524466</v>
      </c>
      <c r="AN68" s="132">
        <f t="shared" si="35"/>
        <v>0.97799500191411759</v>
      </c>
      <c r="AO68" s="132">
        <f t="shared" si="35"/>
        <v>0.979055239481329</v>
      </c>
      <c r="AP68" s="132">
        <f t="shared" si="35"/>
        <v>0.98002149699796415</v>
      </c>
      <c r="AQ68" s="132">
        <f t="shared" si="35"/>
        <v>0.98090213224994915</v>
      </c>
      <c r="AR68" s="132">
        <f t="shared" si="35"/>
        <v>0.98170475758601539</v>
      </c>
      <c r="AS68" s="132">
        <f t="shared" si="35"/>
        <v>0.98243630657496261</v>
      </c>
      <c r="AT68" s="132">
        <f t="shared" si="35"/>
        <v>0.98310309468892476</v>
      </c>
      <c r="AU68" s="132">
        <f t="shared" si="35"/>
        <v>0.98371087454910322</v>
      </c>
      <c r="AV68" s="132">
        <f t="shared" si="35"/>
        <v>0.98426488622217223</v>
      </c>
      <c r="AW68" s="132">
        <f t="shared" si="35"/>
        <v>0.98476990301165712</v>
      </c>
      <c r="AX68" s="132">
        <f t="shared" si="35"/>
        <v>0.98523027314862244</v>
      </c>
      <c r="AY68" s="132">
        <f t="shared" si="35"/>
        <v>0.98564995774966091</v>
      </c>
      <c r="AZ68" s="132">
        <f t="shared" si="35"/>
        <v>0.98603256537708395</v>
      </c>
      <c r="BA68" s="132">
        <f t="shared" si="35"/>
        <v>0.98638138350611637</v>
      </c>
      <c r="BB68" s="132">
        <f t="shared" si="35"/>
        <v>0.98669940717650151</v>
      </c>
      <c r="BC68" s="132">
        <f t="shared" si="35"/>
        <v>0.98698936508099766</v>
      </c>
      <c r="BD68" s="132">
        <f t="shared" si="35"/>
        <v>0.98725374332056415</v>
      </c>
    </row>
    <row r="70" spans="1:56" x14ac:dyDescent="0.25">
      <c r="A70" s="3" t="s">
        <v>400</v>
      </c>
      <c r="B70" s="131">
        <f>B64</f>
        <v>44256</v>
      </c>
      <c r="C70" s="131">
        <f t="shared" ref="C70:M70" si="36">C64</f>
        <v>44287</v>
      </c>
      <c r="D70" s="131">
        <f t="shared" si="36"/>
        <v>44318</v>
      </c>
      <c r="E70" s="131">
        <f t="shared" si="36"/>
        <v>44349</v>
      </c>
      <c r="F70" s="131">
        <f t="shared" si="36"/>
        <v>44380</v>
      </c>
      <c r="G70" s="131">
        <f t="shared" si="36"/>
        <v>44411</v>
      </c>
      <c r="H70" s="131">
        <f t="shared" si="36"/>
        <v>44442</v>
      </c>
      <c r="I70" s="131">
        <f t="shared" si="36"/>
        <v>44473</v>
      </c>
      <c r="J70" s="131">
        <f t="shared" si="36"/>
        <v>44504</v>
      </c>
      <c r="K70" s="131">
        <f t="shared" si="36"/>
        <v>44535</v>
      </c>
      <c r="L70" s="131">
        <f t="shared" si="36"/>
        <v>44566</v>
      </c>
      <c r="M70" s="131">
        <f t="shared" si="36"/>
        <v>44597</v>
      </c>
      <c r="N70" s="131">
        <f>M70+31</f>
        <v>44628</v>
      </c>
      <c r="O70" s="131">
        <f t="shared" ref="O70:BD70" si="37">N70+31</f>
        <v>44659</v>
      </c>
      <c r="P70" s="131">
        <f t="shared" si="37"/>
        <v>44690</v>
      </c>
      <c r="Q70" s="131">
        <f t="shared" si="37"/>
        <v>44721</v>
      </c>
      <c r="R70" s="131">
        <f t="shared" si="37"/>
        <v>44752</v>
      </c>
      <c r="S70" s="131">
        <f t="shared" si="37"/>
        <v>44783</v>
      </c>
      <c r="T70" s="131">
        <f t="shared" si="37"/>
        <v>44814</v>
      </c>
      <c r="U70" s="131">
        <f t="shared" si="37"/>
        <v>44845</v>
      </c>
      <c r="V70" s="131">
        <f t="shared" si="37"/>
        <v>44876</v>
      </c>
      <c r="W70" s="131">
        <f t="shared" si="37"/>
        <v>44907</v>
      </c>
      <c r="X70" s="131">
        <f t="shared" si="37"/>
        <v>44938</v>
      </c>
      <c r="Y70" s="131">
        <f t="shared" si="37"/>
        <v>44969</v>
      </c>
      <c r="Z70" s="131">
        <f t="shared" si="37"/>
        <v>45000</v>
      </c>
      <c r="AA70" s="131">
        <f t="shared" si="37"/>
        <v>45031</v>
      </c>
      <c r="AB70" s="131">
        <f t="shared" si="37"/>
        <v>45062</v>
      </c>
      <c r="AC70" s="131">
        <f t="shared" si="37"/>
        <v>45093</v>
      </c>
      <c r="AD70" s="131">
        <f t="shared" si="37"/>
        <v>45124</v>
      </c>
      <c r="AE70" s="131">
        <f t="shared" si="37"/>
        <v>45155</v>
      </c>
      <c r="AF70" s="131">
        <f t="shared" si="37"/>
        <v>45186</v>
      </c>
      <c r="AG70" s="131">
        <f t="shared" si="37"/>
        <v>45217</v>
      </c>
      <c r="AH70" s="131">
        <f t="shared" si="37"/>
        <v>45248</v>
      </c>
      <c r="AI70" s="131">
        <f t="shared" si="37"/>
        <v>45279</v>
      </c>
      <c r="AJ70" s="131">
        <f t="shared" si="37"/>
        <v>45310</v>
      </c>
      <c r="AK70" s="131">
        <f t="shared" si="37"/>
        <v>45341</v>
      </c>
      <c r="AL70" s="131">
        <f t="shared" si="37"/>
        <v>45372</v>
      </c>
      <c r="AM70" s="131">
        <f t="shared" si="37"/>
        <v>45403</v>
      </c>
      <c r="AN70" s="131">
        <f t="shared" si="37"/>
        <v>45434</v>
      </c>
      <c r="AO70" s="131">
        <f t="shared" si="37"/>
        <v>45465</v>
      </c>
      <c r="AP70" s="131">
        <f t="shared" si="37"/>
        <v>45496</v>
      </c>
      <c r="AQ70" s="131">
        <f t="shared" si="37"/>
        <v>45527</v>
      </c>
      <c r="AR70" s="131">
        <f t="shared" si="37"/>
        <v>45558</v>
      </c>
      <c r="AS70" s="131">
        <f t="shared" si="37"/>
        <v>45589</v>
      </c>
      <c r="AT70" s="131">
        <f t="shared" si="37"/>
        <v>45620</v>
      </c>
      <c r="AU70" s="131">
        <f t="shared" si="37"/>
        <v>45651</v>
      </c>
      <c r="AV70" s="131">
        <f t="shared" si="37"/>
        <v>45682</v>
      </c>
      <c r="AW70" s="131">
        <f t="shared" si="37"/>
        <v>45713</v>
      </c>
      <c r="AX70" s="131">
        <f t="shared" si="37"/>
        <v>45744</v>
      </c>
      <c r="AY70" s="131">
        <f t="shared" si="37"/>
        <v>45775</v>
      </c>
      <c r="AZ70" s="131">
        <f t="shared" si="37"/>
        <v>45806</v>
      </c>
      <c r="BA70" s="131">
        <f t="shared" si="37"/>
        <v>45837</v>
      </c>
      <c r="BB70" s="131">
        <f t="shared" si="37"/>
        <v>45868</v>
      </c>
      <c r="BC70" s="131">
        <f t="shared" si="37"/>
        <v>45899</v>
      </c>
      <c r="BD70" s="131">
        <f t="shared" si="37"/>
        <v>45930</v>
      </c>
    </row>
    <row r="71" spans="1:56" outlineLevel="1" x14ac:dyDescent="0.25">
      <c r="A71" s="18" t="s">
        <v>248</v>
      </c>
      <c r="B71" s="119">
        <f>B66</f>
        <v>5471</v>
      </c>
      <c r="C71" s="119">
        <f t="shared" ref="C71:M71" si="38">C66</f>
        <v>5474</v>
      </c>
      <c r="D71" s="119">
        <f t="shared" si="38"/>
        <v>5939.0450000000001</v>
      </c>
      <c r="E71" s="119">
        <f t="shared" si="38"/>
        <v>1764.0356750000001</v>
      </c>
      <c r="F71" s="119">
        <f t="shared" si="38"/>
        <v>1772.6627101250001</v>
      </c>
      <c r="G71" s="119">
        <f t="shared" si="38"/>
        <v>1781.8858007768749</v>
      </c>
      <c r="H71" s="119">
        <f t="shared" si="38"/>
        <v>1791.760552788528</v>
      </c>
      <c r="I71" s="119">
        <f t="shared" si="38"/>
        <v>1802.3480725803558</v>
      </c>
      <c r="J71" s="119">
        <f t="shared" si="38"/>
        <v>1813.7155163190612</v>
      </c>
      <c r="K71" s="119">
        <f t="shared" si="38"/>
        <v>1825.936693978847</v>
      </c>
      <c r="L71" s="119">
        <f t="shared" si="38"/>
        <v>1839.0927337950297</v>
      </c>
      <c r="M71" s="119">
        <f t="shared" si="38"/>
        <v>1853.2728131491053</v>
      </c>
      <c r="N71" s="119">
        <f>M71*1.02</f>
        <v>1890.3382694120876</v>
      </c>
      <c r="O71" s="119">
        <f t="shared" ref="O71:BD71" si="39">N71*1.02</f>
        <v>1928.1450348003293</v>
      </c>
      <c r="P71" s="119">
        <f t="shared" si="39"/>
        <v>1966.7079354963359</v>
      </c>
      <c r="Q71" s="119">
        <f t="shared" si="39"/>
        <v>2006.0420942062626</v>
      </c>
      <c r="R71" s="119">
        <f t="shared" si="39"/>
        <v>2046.1629360903878</v>
      </c>
      <c r="S71" s="119">
        <f t="shared" si="39"/>
        <v>2087.0861948121956</v>
      </c>
      <c r="T71" s="119">
        <f t="shared" si="39"/>
        <v>2128.8279187084395</v>
      </c>
      <c r="U71" s="119">
        <f t="shared" si="39"/>
        <v>2171.4044770826085</v>
      </c>
      <c r="V71" s="119">
        <f t="shared" si="39"/>
        <v>2214.8325666242608</v>
      </c>
      <c r="W71" s="119">
        <f t="shared" si="39"/>
        <v>2259.1292179567463</v>
      </c>
      <c r="X71" s="119">
        <f t="shared" si="39"/>
        <v>2304.3118023158813</v>
      </c>
      <c r="Y71" s="119">
        <f t="shared" si="39"/>
        <v>2350.3980383621988</v>
      </c>
      <c r="Z71" s="119">
        <f t="shared" si="39"/>
        <v>2397.405999129443</v>
      </c>
      <c r="AA71" s="119">
        <f t="shared" si="39"/>
        <v>2445.3541191120321</v>
      </c>
      <c r="AB71" s="119">
        <f t="shared" si="39"/>
        <v>2494.2612014942729</v>
      </c>
      <c r="AC71" s="119">
        <f t="shared" si="39"/>
        <v>2544.1464255241585</v>
      </c>
      <c r="AD71" s="119">
        <f t="shared" si="39"/>
        <v>2595.0293540346415</v>
      </c>
      <c r="AE71" s="119">
        <f t="shared" si="39"/>
        <v>2646.9299411153343</v>
      </c>
      <c r="AF71" s="119">
        <f t="shared" si="39"/>
        <v>2699.8685399376409</v>
      </c>
      <c r="AG71" s="119">
        <f t="shared" si="39"/>
        <v>2753.8659107363937</v>
      </c>
      <c r="AH71" s="119">
        <f t="shared" si="39"/>
        <v>2808.9432289511215</v>
      </c>
      <c r="AI71" s="119">
        <f t="shared" si="39"/>
        <v>2865.122093530144</v>
      </c>
      <c r="AJ71" s="119">
        <f t="shared" si="39"/>
        <v>2922.4245354007467</v>
      </c>
      <c r="AK71" s="119">
        <f t="shared" si="39"/>
        <v>2980.8730261087617</v>
      </c>
      <c r="AL71" s="119">
        <f t="shared" si="39"/>
        <v>3040.4904866309371</v>
      </c>
      <c r="AM71" s="119">
        <f t="shared" si="39"/>
        <v>3101.3002963635558</v>
      </c>
      <c r="AN71" s="119">
        <f t="shared" si="39"/>
        <v>3163.3263022908272</v>
      </c>
      <c r="AO71" s="119">
        <f t="shared" si="39"/>
        <v>3226.5928283366438</v>
      </c>
      <c r="AP71" s="119">
        <f t="shared" si="39"/>
        <v>3291.1246849033769</v>
      </c>
      <c r="AQ71" s="119">
        <f t="shared" si="39"/>
        <v>3356.9471786014446</v>
      </c>
      <c r="AR71" s="119">
        <f t="shared" si="39"/>
        <v>3424.0861221734735</v>
      </c>
      <c r="AS71" s="119">
        <f t="shared" si="39"/>
        <v>3492.5678446169431</v>
      </c>
      <c r="AT71" s="119">
        <f t="shared" si="39"/>
        <v>3562.4192015092822</v>
      </c>
      <c r="AU71" s="119">
        <f t="shared" si="39"/>
        <v>3633.6675855394678</v>
      </c>
      <c r="AV71" s="119">
        <f t="shared" si="39"/>
        <v>3706.3409372502574</v>
      </c>
      <c r="AW71" s="119">
        <f t="shared" si="39"/>
        <v>3780.4677559952625</v>
      </c>
      <c r="AX71" s="119">
        <f t="shared" si="39"/>
        <v>3856.0771111151676</v>
      </c>
      <c r="AY71" s="119">
        <f t="shared" si="39"/>
        <v>3933.1986533374711</v>
      </c>
      <c r="AZ71" s="119">
        <f t="shared" si="39"/>
        <v>4011.8626264042205</v>
      </c>
      <c r="BA71" s="119">
        <f t="shared" si="39"/>
        <v>4092.0998789323048</v>
      </c>
      <c r="BB71" s="119">
        <f t="shared" si="39"/>
        <v>4173.9418765109513</v>
      </c>
      <c r="BC71" s="119">
        <f t="shared" si="39"/>
        <v>4257.42071404117</v>
      </c>
      <c r="BD71" s="119">
        <f t="shared" si="39"/>
        <v>4342.569128321993</v>
      </c>
    </row>
    <row r="72" spans="1:56" outlineLevel="1" x14ac:dyDescent="0.25">
      <c r="A72" s="18" t="s">
        <v>249</v>
      </c>
      <c r="B72" s="119">
        <f>B52</f>
        <v>0</v>
      </c>
      <c r="C72" s="119">
        <f t="shared" ref="C72:BD72" si="40">C52</f>
        <v>0</v>
      </c>
      <c r="D72" s="119">
        <f t="shared" si="40"/>
        <v>0</v>
      </c>
      <c r="E72" s="119">
        <f t="shared" si="40"/>
        <v>5490</v>
      </c>
      <c r="F72" s="119">
        <f t="shared" si="40"/>
        <v>6039</v>
      </c>
      <c r="G72" s="119">
        <f t="shared" si="40"/>
        <v>6642.9000000000005</v>
      </c>
      <c r="H72" s="119">
        <f t="shared" si="40"/>
        <v>7307.1900000000014</v>
      </c>
      <c r="I72" s="119">
        <f t="shared" si="40"/>
        <v>8037.9089999999997</v>
      </c>
      <c r="J72" s="119">
        <f t="shared" si="40"/>
        <v>8841.6998999999996</v>
      </c>
      <c r="K72" s="119">
        <f t="shared" si="40"/>
        <v>9725.8698899999999</v>
      </c>
      <c r="L72" s="119">
        <f t="shared" si="40"/>
        <v>10698.456878999999</v>
      </c>
      <c r="M72" s="119">
        <f t="shared" si="40"/>
        <v>11768.302566899998</v>
      </c>
      <c r="N72" s="119">
        <f t="shared" si="40"/>
        <v>12945.13282359</v>
      </c>
      <c r="O72" s="119">
        <f t="shared" si="40"/>
        <v>14239.646105949003</v>
      </c>
      <c r="P72" s="119">
        <f t="shared" si="40"/>
        <v>15663.610716543901</v>
      </c>
      <c r="Q72" s="119">
        <f t="shared" si="40"/>
        <v>17229.971788198291</v>
      </c>
      <c r="R72" s="119">
        <f t="shared" si="40"/>
        <v>18952.968967018118</v>
      </c>
      <c r="S72" s="119">
        <f t="shared" si="40"/>
        <v>20848.265863719927</v>
      </c>
      <c r="T72" s="119">
        <f t="shared" si="40"/>
        <v>22933.092450091921</v>
      </c>
      <c r="U72" s="119">
        <f t="shared" si="40"/>
        <v>25226.401695101111</v>
      </c>
      <c r="V72" s="119">
        <f t="shared" si="40"/>
        <v>27749.041864611223</v>
      </c>
      <c r="W72" s="119">
        <f t="shared" si="40"/>
        <v>30523.946051072347</v>
      </c>
      <c r="X72" s="119">
        <f t="shared" si="40"/>
        <v>33576.340656179585</v>
      </c>
      <c r="Y72" s="119">
        <f t="shared" si="40"/>
        <v>36933.974721797545</v>
      </c>
      <c r="Z72" s="119">
        <f t="shared" si="40"/>
        <v>40627.372193977302</v>
      </c>
      <c r="AA72" s="119">
        <f t="shared" si="40"/>
        <v>44690.109413375023</v>
      </c>
      <c r="AB72" s="119">
        <f t="shared" si="40"/>
        <v>49159.120354712533</v>
      </c>
      <c r="AC72" s="119">
        <f t="shared" si="40"/>
        <v>54075.032390183784</v>
      </c>
      <c r="AD72" s="119">
        <f t="shared" si="40"/>
        <v>59482.535629202161</v>
      </c>
      <c r="AE72" s="119">
        <f t="shared" si="40"/>
        <v>65430.789192122385</v>
      </c>
      <c r="AF72" s="119">
        <f t="shared" si="40"/>
        <v>71973.868111334625</v>
      </c>
      <c r="AG72" s="119">
        <f t="shared" si="40"/>
        <v>79171.254922468099</v>
      </c>
      <c r="AH72" s="119">
        <f t="shared" si="40"/>
        <v>87088.380414714906</v>
      </c>
      <c r="AI72" s="119">
        <f t="shared" si="40"/>
        <v>95797.218456186383</v>
      </c>
      <c r="AJ72" s="119">
        <f t="shared" si="40"/>
        <v>105376.94030180502</v>
      </c>
      <c r="AK72" s="119">
        <f t="shared" si="40"/>
        <v>115914.63433198552</v>
      </c>
      <c r="AL72" s="119">
        <f t="shared" si="40"/>
        <v>127506.09776518411</v>
      </c>
      <c r="AM72" s="119">
        <f t="shared" si="40"/>
        <v>140256.70754170252</v>
      </c>
      <c r="AN72" s="119">
        <f t="shared" si="40"/>
        <v>154282.37829587277</v>
      </c>
      <c r="AO72" s="119">
        <f t="shared" si="40"/>
        <v>169710.61612546002</v>
      </c>
      <c r="AP72" s="119">
        <f t="shared" si="40"/>
        <v>186681.67773800602</v>
      </c>
      <c r="AQ72" s="119">
        <f t="shared" si="40"/>
        <v>205349.84551180669</v>
      </c>
      <c r="AR72" s="119">
        <f t="shared" si="40"/>
        <v>225884.83006298734</v>
      </c>
      <c r="AS72" s="119">
        <f t="shared" si="40"/>
        <v>248473.31306928606</v>
      </c>
      <c r="AT72" s="119">
        <f t="shared" si="40"/>
        <v>273320.64437621477</v>
      </c>
      <c r="AU72" s="119">
        <f t="shared" si="40"/>
        <v>300652.70881383622</v>
      </c>
      <c r="AV72" s="119">
        <f t="shared" si="40"/>
        <v>330717.97969521984</v>
      </c>
      <c r="AW72" s="119">
        <f t="shared" si="40"/>
        <v>363789.77766474179</v>
      </c>
      <c r="AX72" s="119">
        <f t="shared" si="40"/>
        <v>400168.75543121604</v>
      </c>
      <c r="AY72" s="119">
        <f t="shared" si="40"/>
        <v>440185.63097433769</v>
      </c>
      <c r="AZ72" s="119">
        <f t="shared" si="40"/>
        <v>484204.1940717714</v>
      </c>
      <c r="BA72" s="119">
        <f t="shared" si="40"/>
        <v>532624.6134789486</v>
      </c>
      <c r="BB72" s="119">
        <f t="shared" si="40"/>
        <v>585887.07482684345</v>
      </c>
      <c r="BC72" s="119">
        <f t="shared" si="40"/>
        <v>644475.78230952774</v>
      </c>
      <c r="BD72" s="119">
        <f t="shared" si="40"/>
        <v>708923.36054048082</v>
      </c>
    </row>
    <row r="73" spans="1:56" s="2" customFormat="1" outlineLevel="1" x14ac:dyDescent="0.25">
      <c r="A73" s="17" t="s">
        <v>401</v>
      </c>
      <c r="B73" s="121">
        <f>-B71+B72</f>
        <v>-5471</v>
      </c>
      <c r="C73" s="121">
        <f t="shared" ref="C73:BD73" si="41">-C71+C72</f>
        <v>-5474</v>
      </c>
      <c r="D73" s="121">
        <f t="shared" si="41"/>
        <v>-5939.0450000000001</v>
      </c>
      <c r="E73" s="121">
        <f t="shared" si="41"/>
        <v>3725.9643249999999</v>
      </c>
      <c r="F73" s="121">
        <f t="shared" si="41"/>
        <v>4266.3372898750004</v>
      </c>
      <c r="G73" s="121">
        <f t="shared" si="41"/>
        <v>4861.0141992231256</v>
      </c>
      <c r="H73" s="121">
        <f t="shared" si="41"/>
        <v>5515.4294472114734</v>
      </c>
      <c r="I73" s="121">
        <f t="shared" si="41"/>
        <v>6235.560927419644</v>
      </c>
      <c r="J73" s="121">
        <f t="shared" si="41"/>
        <v>7027.9843836809387</v>
      </c>
      <c r="K73" s="121">
        <f t="shared" si="41"/>
        <v>7899.933196021153</v>
      </c>
      <c r="L73" s="121">
        <f t="shared" si="41"/>
        <v>8859.3641452049706</v>
      </c>
      <c r="M73" s="121">
        <f t="shared" si="41"/>
        <v>9915.0297537508923</v>
      </c>
      <c r="N73" s="121">
        <f t="shared" si="41"/>
        <v>11054.794554177912</v>
      </c>
      <c r="O73" s="121">
        <f t="shared" si="41"/>
        <v>12311.501071148674</v>
      </c>
      <c r="P73" s="121">
        <f t="shared" si="41"/>
        <v>13696.902781047565</v>
      </c>
      <c r="Q73" s="121">
        <f t="shared" si="41"/>
        <v>15223.929693992028</v>
      </c>
      <c r="R73" s="121">
        <f t="shared" si="41"/>
        <v>16906.806030927732</v>
      </c>
      <c r="S73" s="121">
        <f t="shared" si="41"/>
        <v>18761.179668907731</v>
      </c>
      <c r="T73" s="121">
        <f t="shared" si="41"/>
        <v>20804.26453138348</v>
      </c>
      <c r="U73" s="121">
        <f t="shared" si="41"/>
        <v>23054.997218018503</v>
      </c>
      <c r="V73" s="121">
        <f t="shared" si="41"/>
        <v>25534.209297986963</v>
      </c>
      <c r="W73" s="121">
        <f t="shared" si="41"/>
        <v>28264.816833115601</v>
      </c>
      <c r="X73" s="121">
        <f t="shared" si="41"/>
        <v>31272.028853863703</v>
      </c>
      <c r="Y73" s="121">
        <f t="shared" si="41"/>
        <v>34583.576683435349</v>
      </c>
      <c r="Z73" s="121">
        <f t="shared" si="41"/>
        <v>38229.966194847861</v>
      </c>
      <c r="AA73" s="121">
        <f t="shared" si="41"/>
        <v>42244.755294262992</v>
      </c>
      <c r="AB73" s="121">
        <f t="shared" si="41"/>
        <v>46664.859153218262</v>
      </c>
      <c r="AC73" s="121">
        <f t="shared" si="41"/>
        <v>51530.885964659625</v>
      </c>
      <c r="AD73" s="121">
        <f t="shared" si="41"/>
        <v>56887.506275167521</v>
      </c>
      <c r="AE73" s="121">
        <f t="shared" si="41"/>
        <v>62783.859251007052</v>
      </c>
      <c r="AF73" s="121">
        <f t="shared" si="41"/>
        <v>69273.999571396984</v>
      </c>
      <c r="AG73" s="121">
        <f t="shared" si="41"/>
        <v>76417.389011731706</v>
      </c>
      <c r="AH73" s="121">
        <f t="shared" si="41"/>
        <v>84279.437185763789</v>
      </c>
      <c r="AI73" s="121">
        <f t="shared" si="41"/>
        <v>92932.096362656244</v>
      </c>
      <c r="AJ73" s="121">
        <f t="shared" si="41"/>
        <v>102454.51576640428</v>
      </c>
      <c r="AK73" s="121">
        <f t="shared" si="41"/>
        <v>112933.76130587676</v>
      </c>
      <c r="AL73" s="121">
        <f t="shared" si="41"/>
        <v>124465.60727855317</v>
      </c>
      <c r="AM73" s="121">
        <f t="shared" si="41"/>
        <v>137155.40724533895</v>
      </c>
      <c r="AN73" s="121">
        <f t="shared" si="41"/>
        <v>151119.05199358193</v>
      </c>
      <c r="AO73" s="121">
        <f t="shared" si="41"/>
        <v>166484.02329712338</v>
      </c>
      <c r="AP73" s="121">
        <f t="shared" si="41"/>
        <v>183390.55305310266</v>
      </c>
      <c r="AQ73" s="121">
        <f t="shared" si="41"/>
        <v>201992.89833320526</v>
      </c>
      <c r="AR73" s="121">
        <f t="shared" si="41"/>
        <v>222460.74394081387</v>
      </c>
      <c r="AS73" s="121">
        <f t="shared" si="41"/>
        <v>244980.74522466911</v>
      </c>
      <c r="AT73" s="121">
        <f t="shared" si="41"/>
        <v>269758.2251747055</v>
      </c>
      <c r="AU73" s="121">
        <f t="shared" si="41"/>
        <v>297019.04122829676</v>
      </c>
      <c r="AV73" s="121">
        <f t="shared" si="41"/>
        <v>327011.6387579696</v>
      </c>
      <c r="AW73" s="121">
        <f t="shared" si="41"/>
        <v>360009.30990874651</v>
      </c>
      <c r="AX73" s="121">
        <f t="shared" si="41"/>
        <v>396312.67832010088</v>
      </c>
      <c r="AY73" s="121">
        <f t="shared" si="41"/>
        <v>436252.4323210002</v>
      </c>
      <c r="AZ73" s="121">
        <f t="shared" si="41"/>
        <v>480192.33144536719</v>
      </c>
      <c r="BA73" s="121">
        <f t="shared" si="41"/>
        <v>528532.51360001625</v>
      </c>
      <c r="BB73" s="121">
        <f t="shared" si="41"/>
        <v>581713.13295033248</v>
      </c>
      <c r="BC73" s="121">
        <f t="shared" si="41"/>
        <v>640218.36159548652</v>
      </c>
      <c r="BD73" s="121">
        <f t="shared" si="41"/>
        <v>704580.79141215887</v>
      </c>
    </row>
    <row r="74" spans="1:56" s="2" customFormat="1" outlineLevel="1" x14ac:dyDescent="0.25">
      <c r="A74" s="17" t="s">
        <v>402</v>
      </c>
      <c r="B74" s="121">
        <f>B73</f>
        <v>-5471</v>
      </c>
      <c r="C74" s="121">
        <f>B74+C73</f>
        <v>-10945</v>
      </c>
      <c r="D74" s="121">
        <f t="shared" ref="D74:BD74" si="42">C74+D73</f>
        <v>-16884.044999999998</v>
      </c>
      <c r="E74" s="121">
        <f t="shared" si="42"/>
        <v>-13158.080674999997</v>
      </c>
      <c r="F74" s="121">
        <f t="shared" si="42"/>
        <v>-8891.7433851249971</v>
      </c>
      <c r="G74" s="121">
        <f t="shared" si="42"/>
        <v>-4030.7291859018715</v>
      </c>
      <c r="H74" s="121">
        <f t="shared" si="42"/>
        <v>1484.700261309602</v>
      </c>
      <c r="I74" s="121">
        <f t="shared" si="42"/>
        <v>7720.261188729246</v>
      </c>
      <c r="J74" s="121">
        <f t="shared" si="42"/>
        <v>14748.245572410186</v>
      </c>
      <c r="K74" s="121">
        <f t="shared" si="42"/>
        <v>22648.178768431339</v>
      </c>
      <c r="L74" s="121">
        <f t="shared" si="42"/>
        <v>31507.542913636309</v>
      </c>
      <c r="M74" s="121">
        <f t="shared" si="42"/>
        <v>41422.572667387198</v>
      </c>
      <c r="N74" s="121">
        <f t="shared" si="42"/>
        <v>52477.36722156511</v>
      </c>
      <c r="O74" s="121">
        <f t="shared" si="42"/>
        <v>64788.868292713785</v>
      </c>
      <c r="P74" s="121">
        <f t="shared" si="42"/>
        <v>78485.771073761352</v>
      </c>
      <c r="Q74" s="121">
        <f t="shared" si="42"/>
        <v>93709.700767753384</v>
      </c>
      <c r="R74" s="121">
        <f t="shared" si="42"/>
        <v>110616.50679868112</v>
      </c>
      <c r="S74" s="121">
        <f t="shared" si="42"/>
        <v>129377.68646758885</v>
      </c>
      <c r="T74" s="121">
        <f t="shared" si="42"/>
        <v>150181.95099897234</v>
      </c>
      <c r="U74" s="121">
        <f t="shared" si="42"/>
        <v>173236.94821699086</v>
      </c>
      <c r="V74" s="121">
        <f t="shared" si="42"/>
        <v>198771.15751497782</v>
      </c>
      <c r="W74" s="121">
        <f t="shared" si="42"/>
        <v>227035.97434809341</v>
      </c>
      <c r="X74" s="121">
        <f t="shared" si="42"/>
        <v>258308.00320195712</v>
      </c>
      <c r="Y74" s="121">
        <f t="shared" si="42"/>
        <v>292891.57988539245</v>
      </c>
      <c r="Z74" s="121">
        <f t="shared" si="42"/>
        <v>331121.54608024028</v>
      </c>
      <c r="AA74" s="121">
        <f t="shared" si="42"/>
        <v>373366.30137450329</v>
      </c>
      <c r="AB74" s="121">
        <f t="shared" si="42"/>
        <v>420031.16052772157</v>
      </c>
      <c r="AC74" s="121">
        <f t="shared" si="42"/>
        <v>471562.0464923812</v>
      </c>
      <c r="AD74" s="121">
        <f t="shared" si="42"/>
        <v>528449.55276754871</v>
      </c>
      <c r="AE74" s="121">
        <f t="shared" si="42"/>
        <v>591233.4120185558</v>
      </c>
      <c r="AF74" s="121">
        <f t="shared" si="42"/>
        <v>660507.41158995277</v>
      </c>
      <c r="AG74" s="121">
        <f t="shared" si="42"/>
        <v>736924.80060168449</v>
      </c>
      <c r="AH74" s="121">
        <f t="shared" si="42"/>
        <v>821204.23778744834</v>
      </c>
      <c r="AI74" s="121">
        <f t="shared" si="42"/>
        <v>914136.33415010455</v>
      </c>
      <c r="AJ74" s="121">
        <f t="shared" si="42"/>
        <v>1016590.8499165089</v>
      </c>
      <c r="AK74" s="121">
        <f t="shared" si="42"/>
        <v>1129524.6112223857</v>
      </c>
      <c r="AL74" s="121">
        <f t="shared" si="42"/>
        <v>1253990.2185009387</v>
      </c>
      <c r="AM74" s="121">
        <f t="shared" si="42"/>
        <v>1391145.6257462776</v>
      </c>
      <c r="AN74" s="121">
        <f t="shared" si="42"/>
        <v>1542264.6777398596</v>
      </c>
      <c r="AO74" s="121">
        <f t="shared" si="42"/>
        <v>1708748.7010369829</v>
      </c>
      <c r="AP74" s="121">
        <f t="shared" si="42"/>
        <v>1892139.2540900856</v>
      </c>
      <c r="AQ74" s="121">
        <f t="shared" si="42"/>
        <v>2094132.152423291</v>
      </c>
      <c r="AR74" s="121">
        <f t="shared" si="42"/>
        <v>2316592.8963641049</v>
      </c>
      <c r="AS74" s="121">
        <f t="shared" si="42"/>
        <v>2561573.641588774</v>
      </c>
      <c r="AT74" s="121">
        <f t="shared" si="42"/>
        <v>2831331.8667634795</v>
      </c>
      <c r="AU74" s="121">
        <f t="shared" si="42"/>
        <v>3128350.9079917762</v>
      </c>
      <c r="AV74" s="121">
        <f t="shared" si="42"/>
        <v>3455362.546749746</v>
      </c>
      <c r="AW74" s="121">
        <f t="shared" si="42"/>
        <v>3815371.8566584922</v>
      </c>
      <c r="AX74" s="121">
        <f t="shared" si="42"/>
        <v>4211684.5349785928</v>
      </c>
      <c r="AY74" s="121">
        <f t="shared" si="42"/>
        <v>4647936.9672995927</v>
      </c>
      <c r="AZ74" s="121">
        <f t="shared" si="42"/>
        <v>5128129.2987449598</v>
      </c>
      <c r="BA74" s="121">
        <f t="shared" si="42"/>
        <v>5656661.8123449758</v>
      </c>
      <c r="BB74" s="121">
        <f t="shared" si="42"/>
        <v>6238374.9452953078</v>
      </c>
      <c r="BC74" s="121">
        <f t="shared" si="42"/>
        <v>6878593.3068907941</v>
      </c>
      <c r="BD74" s="121">
        <f t="shared" si="42"/>
        <v>7583174.0983029529</v>
      </c>
    </row>
    <row r="75" spans="1:56" outlineLevel="1" x14ac:dyDescent="0.25"/>
    <row r="76" spans="1:56" outlineLevel="1" x14ac:dyDescent="0.25">
      <c r="A76" s="17" t="s">
        <v>410</v>
      </c>
      <c r="B76" s="232">
        <f>COUNTIF(B73:Y73,"&lt;=0")</f>
        <v>3</v>
      </c>
    </row>
    <row r="77" spans="1:56" outlineLevel="1" x14ac:dyDescent="0.25">
      <c r="A77" s="17" t="s">
        <v>409</v>
      </c>
      <c r="B77" s="232">
        <f>COUNTIF(B74:Y74,"&lt;=0")</f>
        <v>6</v>
      </c>
    </row>
  </sheetData>
  <dataConsolidate/>
  <mergeCells count="23">
    <mergeCell ref="B12:C12"/>
    <mergeCell ref="I12:J12"/>
    <mergeCell ref="B13:C13"/>
    <mergeCell ref="I13:J13"/>
    <mergeCell ref="B9:C9"/>
    <mergeCell ref="I9:J9"/>
    <mergeCell ref="B10:C10"/>
    <mergeCell ref="I10:J10"/>
    <mergeCell ref="B11:C11"/>
    <mergeCell ref="I11:J11"/>
    <mergeCell ref="B6:C6"/>
    <mergeCell ref="I6:J6"/>
    <mergeCell ref="B7:C7"/>
    <mergeCell ref="I7:J7"/>
    <mergeCell ref="B8:C8"/>
    <mergeCell ref="I8:J8"/>
    <mergeCell ref="B5:C5"/>
    <mergeCell ref="I5:J5"/>
    <mergeCell ref="B3:C3"/>
    <mergeCell ref="G3:H3"/>
    <mergeCell ref="I3:J3"/>
    <mergeCell ref="B4:C4"/>
    <mergeCell ref="I4:J4"/>
  </mergeCells>
  <conditionalFormatting sqref="B68:BD6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3:BD7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:BD7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6">
    <cfRule type="colorScale" priority="5">
      <colorScale>
        <cfvo type="min"/>
        <cfvo type="max"/>
        <color rgb="FF63BE7B"/>
        <color rgb="FFFFEF9C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7">
    <cfRule type="colorScale" priority="3">
      <colorScale>
        <cfvo type="min"/>
        <cfvo type="max"/>
        <color rgb="FF63BE7B"/>
        <color rgb="FFFFEF9C"/>
      </colorScale>
    </cfRule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BD53">
    <cfRule type="colorScale" priority="1">
      <colorScale>
        <cfvo type="min"/>
        <cfvo type="max"/>
        <color rgb="FFFCFCFF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/>
  </sheetPr>
  <dimension ref="A1:O46"/>
  <sheetViews>
    <sheetView showGridLines="0" topLeftCell="A2" zoomScale="111" zoomScaleNormal="90" workbookViewId="0">
      <selection activeCell="L27" sqref="L27"/>
    </sheetView>
  </sheetViews>
  <sheetFormatPr baseColWidth="10" defaultColWidth="9.1640625" defaultRowHeight="16" outlineLevelRow="1" x14ac:dyDescent="0.25"/>
  <cols>
    <col min="1" max="1" width="30.83203125" style="1" customWidth="1"/>
    <col min="2" max="2" width="10.5" style="1" customWidth="1"/>
    <col min="3" max="15" width="12.83203125" style="1" customWidth="1"/>
    <col min="16" max="16384" width="9.1640625" style="1"/>
  </cols>
  <sheetData>
    <row r="1" spans="1:15" s="4" customFormat="1" x14ac:dyDescent="0.25">
      <c r="A1" s="25" t="str">
        <f>"Operating Expenses - "&amp;YEAR(C31)</f>
        <v>Operating Expenses - 2020</v>
      </c>
      <c r="B1" s="25"/>
    </row>
    <row r="2" spans="1:15" x14ac:dyDescent="0.25">
      <c r="A2" s="23" t="s">
        <v>79</v>
      </c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s="134" customFormat="1" outlineLevel="1" x14ac:dyDescent="0.25">
      <c r="A3" s="2" t="s">
        <v>252</v>
      </c>
      <c r="B3" s="2"/>
      <c r="C3" s="2"/>
      <c r="D3" s="2"/>
      <c r="E3" s="578" t="s">
        <v>61</v>
      </c>
      <c r="F3" s="578"/>
      <c r="J3" s="578" t="s">
        <v>78</v>
      </c>
      <c r="K3" s="578"/>
    </row>
    <row r="4" spans="1:15" s="134" customFormat="1" outlineLevel="1" x14ac:dyDescent="0.25">
      <c r="A4" s="1" t="s">
        <v>253</v>
      </c>
      <c r="B4" s="107">
        <v>1000</v>
      </c>
      <c r="C4" s="1" t="s">
        <v>254</v>
      </c>
      <c r="D4" s="2"/>
      <c r="E4" s="1" t="s">
        <v>253</v>
      </c>
      <c r="F4" s="1"/>
      <c r="G4" s="107">
        <v>1000</v>
      </c>
      <c r="H4" s="1" t="s">
        <v>254</v>
      </c>
      <c r="J4" s="1" t="s">
        <v>281</v>
      </c>
      <c r="L4" s="110">
        <v>0.05</v>
      </c>
      <c r="M4" s="1" t="s">
        <v>257</v>
      </c>
    </row>
    <row r="5" spans="1:15" s="134" customFormat="1" outlineLevel="1" x14ac:dyDescent="0.25">
      <c r="A5" s="1" t="s">
        <v>255</v>
      </c>
      <c r="B5" s="107">
        <v>5000</v>
      </c>
      <c r="C5" s="1" t="s">
        <v>254</v>
      </c>
      <c r="D5" s="1"/>
      <c r="E5" s="1" t="s">
        <v>256</v>
      </c>
      <c r="F5" s="1"/>
      <c r="G5" s="110">
        <v>0.03</v>
      </c>
      <c r="H5" s="1" t="s">
        <v>257</v>
      </c>
    </row>
    <row r="6" spans="1:15" s="134" customFormat="1" outlineLevel="1" x14ac:dyDescent="0.25">
      <c r="A6" s="1" t="s">
        <v>256</v>
      </c>
      <c r="B6" s="110">
        <v>0.3</v>
      </c>
      <c r="C6" s="1" t="s">
        <v>257</v>
      </c>
      <c r="D6" s="1"/>
      <c r="E6" s="1"/>
      <c r="F6" s="1"/>
    </row>
    <row r="7" spans="1:15" s="134" customFormat="1" outlineLevel="1" x14ac:dyDescent="0.25">
      <c r="A7" s="1"/>
      <c r="B7" s="1"/>
      <c r="C7" s="1"/>
      <c r="D7" s="1"/>
      <c r="E7" s="1"/>
      <c r="F7" s="1"/>
    </row>
    <row r="8" spans="1:15" s="134" customFormat="1" outlineLevel="1" x14ac:dyDescent="0.25">
      <c r="A8" s="578" t="s">
        <v>60</v>
      </c>
      <c r="B8" s="578"/>
      <c r="C8" s="1"/>
      <c r="D8" s="1"/>
      <c r="E8" s="578" t="s">
        <v>59</v>
      </c>
      <c r="F8" s="578"/>
      <c r="J8" s="578" t="s">
        <v>65</v>
      </c>
      <c r="K8" s="578"/>
    </row>
    <row r="9" spans="1:15" s="134" customFormat="1" outlineLevel="1" x14ac:dyDescent="0.25">
      <c r="A9" s="1" t="s">
        <v>253</v>
      </c>
      <c r="B9" s="107">
        <v>150</v>
      </c>
      <c r="C9" s="1" t="s">
        <v>254</v>
      </c>
      <c r="D9" s="1"/>
      <c r="E9" s="1" t="s">
        <v>253</v>
      </c>
      <c r="F9" s="1"/>
      <c r="G9" s="107">
        <v>500</v>
      </c>
      <c r="H9" s="1" t="s">
        <v>254</v>
      </c>
      <c r="J9" s="1" t="s">
        <v>278</v>
      </c>
      <c r="L9" s="107">
        <v>3</v>
      </c>
    </row>
    <row r="10" spans="1:15" s="134" customFormat="1" ht="16" customHeight="1" outlineLevel="1" x14ac:dyDescent="0.25">
      <c r="A10" s="1" t="s">
        <v>256</v>
      </c>
      <c r="B10" s="110">
        <v>0.02</v>
      </c>
      <c r="C10" s="1" t="s">
        <v>257</v>
      </c>
      <c r="D10" s="1"/>
      <c r="E10" s="1" t="s">
        <v>256</v>
      </c>
      <c r="F10" s="1"/>
      <c r="G10" s="110">
        <v>0.02</v>
      </c>
      <c r="H10" s="1" t="s">
        <v>257</v>
      </c>
      <c r="J10" s="108" t="s">
        <v>279</v>
      </c>
      <c r="L10" s="107">
        <v>500</v>
      </c>
      <c r="M10" s="1" t="s">
        <v>254</v>
      </c>
    </row>
    <row r="11" spans="1:15" s="134" customFormat="1" ht="17" outlineLevel="1" x14ac:dyDescent="0.25">
      <c r="A11" s="1"/>
      <c r="B11" s="110"/>
      <c r="C11" s="1"/>
      <c r="D11" s="1"/>
      <c r="E11" s="1"/>
      <c r="F11" s="1"/>
      <c r="G11" s="110"/>
      <c r="H11" s="1"/>
      <c r="J11" s="135" t="s">
        <v>224</v>
      </c>
      <c r="L11" s="110">
        <v>0.01</v>
      </c>
      <c r="M11" s="1" t="s">
        <v>257</v>
      </c>
    </row>
    <row r="12" spans="1:15" s="134" customFormat="1" outlineLevel="1" x14ac:dyDescent="0.25">
      <c r="A12" s="578" t="s">
        <v>258</v>
      </c>
      <c r="B12" s="578"/>
      <c r="C12" s="1"/>
      <c r="D12" s="1"/>
      <c r="E12" s="578" t="s">
        <v>66</v>
      </c>
      <c r="F12" s="578"/>
      <c r="G12" s="1"/>
      <c r="H12" s="1"/>
      <c r="J12" s="1" t="s">
        <v>280</v>
      </c>
      <c r="L12" s="107">
        <v>0</v>
      </c>
      <c r="M12" s="1" t="s">
        <v>254</v>
      </c>
    </row>
    <row r="13" spans="1:15" s="134" customFormat="1" outlineLevel="1" x14ac:dyDescent="0.25">
      <c r="A13" s="1" t="s">
        <v>259</v>
      </c>
      <c r="B13" s="107">
        <v>10000</v>
      </c>
      <c r="C13" s="1" t="s">
        <v>254</v>
      </c>
      <c r="D13" s="1"/>
      <c r="E13" s="1" t="s">
        <v>262</v>
      </c>
      <c r="G13" s="107">
        <v>1000</v>
      </c>
      <c r="H13" s="1" t="s">
        <v>254</v>
      </c>
    </row>
    <row r="14" spans="1:15" s="134" customFormat="1" outlineLevel="1" x14ac:dyDescent="0.25">
      <c r="A14" s="1" t="s">
        <v>260</v>
      </c>
      <c r="B14" s="107">
        <v>500</v>
      </c>
      <c r="C14" s="1" t="s">
        <v>254</v>
      </c>
      <c r="D14" s="1"/>
      <c r="E14" s="1" t="s">
        <v>264</v>
      </c>
      <c r="G14" s="107">
        <v>500</v>
      </c>
      <c r="H14" s="1" t="s">
        <v>254</v>
      </c>
      <c r="J14" s="590" t="s">
        <v>282</v>
      </c>
      <c r="K14" s="590"/>
      <c r="L14" s="590"/>
    </row>
    <row r="15" spans="1:15" s="134" customFormat="1" outlineLevel="1" x14ac:dyDescent="0.25">
      <c r="A15" s="1" t="s">
        <v>261</v>
      </c>
      <c r="B15" s="107">
        <v>100</v>
      </c>
      <c r="C15" s="1" t="s">
        <v>254</v>
      </c>
      <c r="E15" s="1" t="s">
        <v>263</v>
      </c>
      <c r="G15" s="107">
        <v>300</v>
      </c>
      <c r="H15" s="1" t="s">
        <v>254</v>
      </c>
      <c r="J15" s="1" t="s">
        <v>283</v>
      </c>
      <c r="L15" s="107">
        <v>15</v>
      </c>
    </row>
    <row r="16" spans="1:15" s="134" customFormat="1" outlineLevel="1" x14ac:dyDescent="0.25">
      <c r="A16" s="1" t="s">
        <v>256</v>
      </c>
      <c r="B16" s="110">
        <v>0.02</v>
      </c>
      <c r="C16" s="1" t="s">
        <v>257</v>
      </c>
      <c r="E16" s="1" t="s">
        <v>256</v>
      </c>
      <c r="G16" s="110">
        <v>0.02</v>
      </c>
      <c r="H16" s="1" t="s">
        <v>257</v>
      </c>
      <c r="J16" s="1" t="s">
        <v>284</v>
      </c>
      <c r="L16" s="109">
        <v>2000</v>
      </c>
    </row>
    <row r="17" spans="1:15" s="134" customFormat="1" outlineLevel="1" x14ac:dyDescent="0.25">
      <c r="A17" s="133"/>
      <c r="B17" s="133"/>
      <c r="J17" s="1" t="s">
        <v>285</v>
      </c>
      <c r="L17" s="107">
        <v>4</v>
      </c>
    </row>
    <row r="18" spans="1:15" s="134" customFormat="1" ht="16" customHeight="1" outlineLevel="1" x14ac:dyDescent="0.25">
      <c r="A18" s="578" t="s">
        <v>265</v>
      </c>
      <c r="B18" s="578"/>
      <c r="E18" s="590" t="s">
        <v>63</v>
      </c>
      <c r="F18" s="590"/>
      <c r="G18" s="590"/>
      <c r="J18" s="1" t="s">
        <v>286</v>
      </c>
      <c r="L18" s="136">
        <f>(L15*L16)/(L17*12)</f>
        <v>625</v>
      </c>
      <c r="M18" s="1" t="s">
        <v>254</v>
      </c>
    </row>
    <row r="19" spans="1:15" s="134" customFormat="1" outlineLevel="1" x14ac:dyDescent="0.25">
      <c r="A19" s="1" t="s">
        <v>266</v>
      </c>
      <c r="B19" s="107">
        <v>1500</v>
      </c>
      <c r="C19" s="1" t="s">
        <v>254</v>
      </c>
      <c r="E19" s="1" t="s">
        <v>272</v>
      </c>
      <c r="G19" s="107">
        <v>300</v>
      </c>
      <c r="H19" s="1" t="s">
        <v>254</v>
      </c>
      <c r="J19" s="1" t="s">
        <v>287</v>
      </c>
      <c r="L19" s="136">
        <v>200</v>
      </c>
      <c r="M19" s="1" t="s">
        <v>254</v>
      </c>
    </row>
    <row r="20" spans="1:15" s="134" customFormat="1" ht="16" customHeight="1" outlineLevel="1" x14ac:dyDescent="0.25">
      <c r="A20" s="108" t="s">
        <v>267</v>
      </c>
      <c r="B20" s="107">
        <v>700</v>
      </c>
      <c r="C20" s="1" t="s">
        <v>254</v>
      </c>
      <c r="E20" s="108" t="s">
        <v>273</v>
      </c>
      <c r="G20" s="107">
        <v>200</v>
      </c>
      <c r="H20" s="1" t="s">
        <v>254</v>
      </c>
    </row>
    <row r="21" spans="1:15" s="134" customFormat="1" ht="15" customHeight="1" outlineLevel="1" x14ac:dyDescent="0.25">
      <c r="A21" s="135" t="s">
        <v>268</v>
      </c>
      <c r="B21" s="107">
        <v>1000</v>
      </c>
      <c r="C21" s="1" t="s">
        <v>254</v>
      </c>
      <c r="E21" s="127" t="s">
        <v>274</v>
      </c>
      <c r="G21" s="107">
        <v>0</v>
      </c>
      <c r="H21" s="1" t="s">
        <v>254</v>
      </c>
      <c r="J21" s="590" t="s">
        <v>76</v>
      </c>
      <c r="K21" s="590"/>
      <c r="L21" s="590"/>
    </row>
    <row r="22" spans="1:15" s="134" customFormat="1" ht="17" outlineLevel="1" x14ac:dyDescent="0.25">
      <c r="A22" s="135" t="s">
        <v>269</v>
      </c>
      <c r="B22" s="107">
        <v>3600</v>
      </c>
      <c r="C22" s="1" t="s">
        <v>254</v>
      </c>
      <c r="E22" s="1" t="s">
        <v>275</v>
      </c>
      <c r="G22" s="107">
        <v>1000</v>
      </c>
      <c r="H22" s="1" t="s">
        <v>254</v>
      </c>
      <c r="J22" s="1" t="s">
        <v>288</v>
      </c>
      <c r="L22" s="136">
        <v>20000</v>
      </c>
      <c r="M22" s="1" t="s">
        <v>254</v>
      </c>
    </row>
    <row r="23" spans="1:15" s="134" customFormat="1" ht="15" customHeight="1" outlineLevel="1" x14ac:dyDescent="0.25">
      <c r="A23" s="135" t="s">
        <v>270</v>
      </c>
      <c r="B23" s="107">
        <f>'White label websites (WLW)'!P127*5%</f>
        <v>5709.6390000000001</v>
      </c>
      <c r="C23" s="1" t="s">
        <v>254</v>
      </c>
      <c r="E23" s="127" t="s">
        <v>276</v>
      </c>
      <c r="G23" s="107">
        <v>1000</v>
      </c>
      <c r="H23" s="1" t="s">
        <v>254</v>
      </c>
      <c r="J23" s="1" t="s">
        <v>289</v>
      </c>
      <c r="L23" s="136">
        <v>5000</v>
      </c>
      <c r="M23" s="1" t="s">
        <v>254</v>
      </c>
    </row>
    <row r="24" spans="1:15" s="134" customFormat="1" ht="17" outlineLevel="1" x14ac:dyDescent="0.25">
      <c r="A24" s="135" t="s">
        <v>271</v>
      </c>
      <c r="B24" s="107">
        <v>15000</v>
      </c>
      <c r="C24" s="1" t="s">
        <v>529</v>
      </c>
      <c r="E24" s="127" t="s">
        <v>277</v>
      </c>
      <c r="G24" s="107">
        <v>3000</v>
      </c>
      <c r="H24" s="1" t="s">
        <v>254</v>
      </c>
      <c r="J24" s="1" t="s">
        <v>290</v>
      </c>
      <c r="L24" s="136">
        <v>15000</v>
      </c>
      <c r="M24" s="1" t="s">
        <v>254</v>
      </c>
    </row>
    <row r="25" spans="1:15" s="134" customFormat="1" outlineLevel="1" x14ac:dyDescent="0.25">
      <c r="A25" s="1" t="s">
        <v>256</v>
      </c>
      <c r="B25" s="110">
        <v>0.01</v>
      </c>
      <c r="C25" s="1" t="s">
        <v>257</v>
      </c>
      <c r="E25" s="1" t="s">
        <v>256</v>
      </c>
      <c r="G25" s="110">
        <v>0.01</v>
      </c>
      <c r="H25" s="1" t="s">
        <v>257</v>
      </c>
      <c r="J25" s="1" t="s">
        <v>280</v>
      </c>
      <c r="L25" s="136">
        <v>0</v>
      </c>
      <c r="M25" s="1" t="s">
        <v>254</v>
      </c>
    </row>
    <row r="26" spans="1:15" s="134" customFormat="1" ht="17" outlineLevel="1" x14ac:dyDescent="0.25">
      <c r="A26" s="135" t="s">
        <v>530</v>
      </c>
      <c r="B26" s="107">
        <v>10000</v>
      </c>
      <c r="C26" s="1" t="s">
        <v>254</v>
      </c>
      <c r="J26" s="1" t="s">
        <v>256</v>
      </c>
      <c r="L26" s="110">
        <v>0.03</v>
      </c>
      <c r="M26" s="1" t="s">
        <v>257</v>
      </c>
    </row>
    <row r="27" spans="1:15" s="134" customFormat="1" outlineLevel="1" x14ac:dyDescent="0.25">
      <c r="J27" s="1" t="s">
        <v>528</v>
      </c>
      <c r="L27" s="136">
        <v>10000</v>
      </c>
      <c r="M27" s="1" t="s">
        <v>254</v>
      </c>
    </row>
    <row r="28" spans="1:15" s="134" customFormat="1" ht="16" customHeight="1" outlineLevel="1" x14ac:dyDescent="0.25">
      <c r="A28" s="578" t="s">
        <v>291</v>
      </c>
      <c r="B28" s="578"/>
      <c r="C28" s="1"/>
    </row>
    <row r="29" spans="1:15" s="134" customFormat="1" ht="16" customHeight="1" outlineLevel="1" x14ac:dyDescent="0.25">
      <c r="A29" s="135" t="s">
        <v>292</v>
      </c>
      <c r="B29" s="110">
        <v>0.02</v>
      </c>
      <c r="C29" s="1"/>
    </row>
    <row r="30" spans="1:15" s="134" customFormat="1" x14ac:dyDescent="0.25"/>
    <row r="31" spans="1:15" ht="17" x14ac:dyDescent="0.25">
      <c r="A31" s="9" t="s">
        <v>116</v>
      </c>
      <c r="B31" s="9"/>
      <c r="C31" s="62">
        <v>43831</v>
      </c>
      <c r="D31" s="62">
        <v>43862</v>
      </c>
      <c r="E31" s="62">
        <v>43891</v>
      </c>
      <c r="F31" s="62">
        <v>43922</v>
      </c>
      <c r="G31" s="62">
        <v>43952</v>
      </c>
      <c r="H31" s="62">
        <v>43983</v>
      </c>
      <c r="I31" s="62">
        <v>44013</v>
      </c>
      <c r="J31" s="62">
        <v>44044</v>
      </c>
      <c r="K31" s="62">
        <v>44075</v>
      </c>
      <c r="L31" s="62">
        <v>44105</v>
      </c>
      <c r="M31" s="62">
        <v>44136</v>
      </c>
      <c r="N31" s="62">
        <v>44166</v>
      </c>
      <c r="O31" s="62" t="s">
        <v>74</v>
      </c>
    </row>
    <row r="32" spans="1:15" outlineLevel="1" x14ac:dyDescent="0.25">
      <c r="A32" s="83" t="s">
        <v>58</v>
      </c>
      <c r="B32" s="83"/>
      <c r="C32" s="148"/>
      <c r="D32" s="148"/>
      <c r="E32" s="148"/>
      <c r="F32" s="148"/>
      <c r="G32" s="148"/>
      <c r="H32" s="148"/>
      <c r="I32" s="148">
        <f>L22</f>
        <v>20000</v>
      </c>
      <c r="J32" s="148">
        <f t="shared" ref="H32:N32" si="0">I32*(1+$B$6)</f>
        <v>26000</v>
      </c>
      <c r="K32" s="148">
        <f t="shared" si="0"/>
        <v>33800</v>
      </c>
      <c r="L32" s="148">
        <f t="shared" si="0"/>
        <v>43940</v>
      </c>
      <c r="M32" s="148">
        <f t="shared" si="0"/>
        <v>57122</v>
      </c>
      <c r="N32" s="148">
        <f t="shared" si="0"/>
        <v>74258.600000000006</v>
      </c>
      <c r="O32" s="140">
        <f>SUM(C32:N32)</f>
        <v>255120.6</v>
      </c>
    </row>
    <row r="33" spans="1:15" outlineLevel="1" x14ac:dyDescent="0.25">
      <c r="A33" s="83" t="s">
        <v>75</v>
      </c>
      <c r="B33" s="83"/>
      <c r="C33" s="148">
        <f>L19</f>
        <v>200</v>
      </c>
      <c r="D33" s="148">
        <f>L19</f>
        <v>200</v>
      </c>
      <c r="E33" s="148">
        <f>L19</f>
        <v>200</v>
      </c>
      <c r="F33" s="148">
        <f>$L$18</f>
        <v>625</v>
      </c>
      <c r="G33" s="148">
        <f t="shared" ref="G33:N33" si="1">$L$18</f>
        <v>625</v>
      </c>
      <c r="H33" s="148">
        <f t="shared" si="1"/>
        <v>625</v>
      </c>
      <c r="I33" s="148">
        <f t="shared" si="1"/>
        <v>625</v>
      </c>
      <c r="J33" s="148">
        <f t="shared" si="1"/>
        <v>625</v>
      </c>
      <c r="K33" s="148">
        <f t="shared" si="1"/>
        <v>625</v>
      </c>
      <c r="L33" s="148">
        <f t="shared" si="1"/>
        <v>625</v>
      </c>
      <c r="M33" s="148">
        <f t="shared" si="1"/>
        <v>625</v>
      </c>
      <c r="N33" s="148">
        <f t="shared" si="1"/>
        <v>625</v>
      </c>
      <c r="O33" s="140">
        <f t="shared" ref="O33:O44" si="2">SUM(C33:N33)</f>
        <v>6225</v>
      </c>
    </row>
    <row r="34" spans="1:15" outlineLevel="1" x14ac:dyDescent="0.25">
      <c r="A34" s="83" t="s">
        <v>61</v>
      </c>
      <c r="B34" s="83"/>
      <c r="C34" s="148">
        <f>G4</f>
        <v>1000</v>
      </c>
      <c r="D34" s="148">
        <f>G4</f>
        <v>1000</v>
      </c>
      <c r="E34" s="148">
        <f>G4</f>
        <v>1000</v>
      </c>
      <c r="F34" s="148">
        <f>E34*(1+$G$5)</f>
        <v>1030</v>
      </c>
      <c r="G34" s="148">
        <f t="shared" ref="G34:N34" si="3">F34*(1+$G$5)</f>
        <v>1060.9000000000001</v>
      </c>
      <c r="H34" s="148">
        <f t="shared" si="3"/>
        <v>1092.7270000000001</v>
      </c>
      <c r="I34" s="148">
        <f t="shared" si="3"/>
        <v>1125.50881</v>
      </c>
      <c r="J34" s="148">
        <f t="shared" si="3"/>
        <v>1159.2740743000002</v>
      </c>
      <c r="K34" s="148">
        <f t="shared" si="3"/>
        <v>1194.0522965290002</v>
      </c>
      <c r="L34" s="148">
        <f t="shared" si="3"/>
        <v>1229.8738654248702</v>
      </c>
      <c r="M34" s="148">
        <f t="shared" si="3"/>
        <v>1266.7700813876163</v>
      </c>
      <c r="N34" s="148">
        <f t="shared" si="3"/>
        <v>1304.7731838292448</v>
      </c>
      <c r="O34" s="140">
        <f t="shared" si="2"/>
        <v>13463.87931147073</v>
      </c>
    </row>
    <row r="35" spans="1:15" outlineLevel="1" x14ac:dyDescent="0.25">
      <c r="A35" s="83" t="s">
        <v>59</v>
      </c>
      <c r="B35" s="83"/>
      <c r="C35" s="148">
        <f>G9</f>
        <v>500</v>
      </c>
      <c r="D35" s="148">
        <f>G9</f>
        <v>500</v>
      </c>
      <c r="E35" s="148">
        <f>G9</f>
        <v>500</v>
      </c>
      <c r="F35" s="148">
        <f>E35*(1+$G$10)</f>
        <v>510</v>
      </c>
      <c r="G35" s="148">
        <f t="shared" ref="G35:N35" si="4">F35*(1+$G$10)</f>
        <v>520.20000000000005</v>
      </c>
      <c r="H35" s="148">
        <f t="shared" si="4"/>
        <v>530.60400000000004</v>
      </c>
      <c r="I35" s="148">
        <f t="shared" si="4"/>
        <v>541.21608000000003</v>
      </c>
      <c r="J35" s="148">
        <f t="shared" si="4"/>
        <v>552.0404016</v>
      </c>
      <c r="K35" s="148">
        <f t="shared" si="4"/>
        <v>563.08120963199997</v>
      </c>
      <c r="L35" s="148">
        <f t="shared" si="4"/>
        <v>574.34283382464002</v>
      </c>
      <c r="M35" s="148">
        <f t="shared" si="4"/>
        <v>585.82969050113286</v>
      </c>
      <c r="N35" s="148">
        <f t="shared" si="4"/>
        <v>597.54628431115555</v>
      </c>
      <c r="O35" s="140">
        <f t="shared" si="2"/>
        <v>6474.8604998689289</v>
      </c>
    </row>
    <row r="36" spans="1:15" outlineLevel="1" x14ac:dyDescent="0.25">
      <c r="A36" s="83" t="s">
        <v>76</v>
      </c>
      <c r="B36" s="83"/>
      <c r="C36" s="148">
        <f>L25</f>
        <v>0</v>
      </c>
      <c r="D36" s="148">
        <f>C36</f>
        <v>0</v>
      </c>
      <c r="E36" s="148">
        <f>D36</f>
        <v>0</v>
      </c>
      <c r="F36" s="148">
        <v>0</v>
      </c>
      <c r="G36" s="148">
        <f>F36*(1+$L$26)</f>
        <v>0</v>
      </c>
      <c r="H36" s="148">
        <f t="shared" ref="H36:N36" si="5">G36*(1+$L$26)</f>
        <v>0</v>
      </c>
      <c r="I36" s="148">
        <f>L22+L23+L24+L27</f>
        <v>50000</v>
      </c>
      <c r="J36" s="148">
        <f t="shared" si="5"/>
        <v>51500</v>
      </c>
      <c r="K36" s="148">
        <f t="shared" si="5"/>
        <v>53045</v>
      </c>
      <c r="L36" s="148">
        <f t="shared" si="5"/>
        <v>54636.35</v>
      </c>
      <c r="M36" s="148">
        <f t="shared" si="5"/>
        <v>56275.440499999997</v>
      </c>
      <c r="N36" s="148">
        <f t="shared" si="5"/>
        <v>57963.703714999996</v>
      </c>
      <c r="O36" s="140">
        <f t="shared" si="2"/>
        <v>323420.49421500001</v>
      </c>
    </row>
    <row r="37" spans="1:15" outlineLevel="1" x14ac:dyDescent="0.25">
      <c r="A37" s="83" t="s">
        <v>60</v>
      </c>
      <c r="B37" s="83"/>
      <c r="C37" s="148">
        <f>B9</f>
        <v>150</v>
      </c>
      <c r="D37" s="148">
        <f>C37*(1+$B$10)</f>
        <v>153</v>
      </c>
      <c r="E37" s="148">
        <f t="shared" ref="E37:N37" si="6">D37*(1+$B$10)</f>
        <v>156.06</v>
      </c>
      <c r="F37" s="148">
        <f t="shared" si="6"/>
        <v>159.18120000000002</v>
      </c>
      <c r="G37" s="148">
        <f t="shared" si="6"/>
        <v>162.36482400000003</v>
      </c>
      <c r="H37" s="148">
        <f t="shared" si="6"/>
        <v>165.61212048000004</v>
      </c>
      <c r="I37" s="148">
        <f t="shared" si="6"/>
        <v>168.92436288960005</v>
      </c>
      <c r="J37" s="148">
        <f t="shared" si="6"/>
        <v>172.30285014739206</v>
      </c>
      <c r="K37" s="148">
        <f t="shared" si="6"/>
        <v>175.7489071503399</v>
      </c>
      <c r="L37" s="148">
        <f t="shared" si="6"/>
        <v>179.2638852933467</v>
      </c>
      <c r="M37" s="148">
        <f t="shared" si="6"/>
        <v>182.84916299921363</v>
      </c>
      <c r="N37" s="148">
        <f t="shared" si="6"/>
        <v>186.50614625919792</v>
      </c>
      <c r="O37" s="140">
        <f t="shared" si="2"/>
        <v>2011.8134592190902</v>
      </c>
    </row>
    <row r="38" spans="1:15" outlineLevel="1" x14ac:dyDescent="0.25">
      <c r="A38" s="83" t="s">
        <v>62</v>
      </c>
      <c r="B38" s="83"/>
      <c r="C38" s="148">
        <f>(B13+B14+B15)</f>
        <v>10600</v>
      </c>
      <c r="D38" s="148">
        <f>C38*(1+$B$16)</f>
        <v>10812</v>
      </c>
      <c r="E38" s="148"/>
      <c r="F38" s="148"/>
      <c r="G38" s="148"/>
      <c r="H38" s="148">
        <f>B13*3</f>
        <v>30000</v>
      </c>
      <c r="I38" s="148">
        <f>B13</f>
        <v>10000</v>
      </c>
      <c r="J38" s="148">
        <f t="shared" ref="J38:N38" si="7">I38*(1+$B$16)</f>
        <v>10200</v>
      </c>
      <c r="K38" s="148">
        <f t="shared" si="7"/>
        <v>10404</v>
      </c>
      <c r="L38" s="148">
        <f t="shared" si="7"/>
        <v>10612.08</v>
      </c>
      <c r="M38" s="148">
        <f t="shared" si="7"/>
        <v>10824.321599999999</v>
      </c>
      <c r="N38" s="148">
        <f t="shared" si="7"/>
        <v>11040.808031999999</v>
      </c>
      <c r="O38" s="140">
        <f t="shared" si="2"/>
        <v>114493.209632</v>
      </c>
    </row>
    <row r="39" spans="1:15" outlineLevel="1" x14ac:dyDescent="0.25">
      <c r="A39" s="83" t="s">
        <v>77</v>
      </c>
      <c r="B39" s="83"/>
      <c r="C39" s="148">
        <f>B19+B20+B21+B22</f>
        <v>6800</v>
      </c>
      <c r="D39" s="148">
        <f>C39</f>
        <v>6800</v>
      </c>
      <c r="E39" s="148">
        <f>D39+B24+B26</f>
        <v>31800</v>
      </c>
      <c r="F39" s="148">
        <v>0</v>
      </c>
      <c r="G39" s="148">
        <f>F39*(1+$B$25)</f>
        <v>0</v>
      </c>
      <c r="H39" s="148">
        <f>(B19+B20+B21+B23+B24)</f>
        <v>23909.638999999999</v>
      </c>
      <c r="I39" s="148">
        <f t="shared" ref="I39:N39" si="8">H39*(1+$B$25)</f>
        <v>24148.735389999998</v>
      </c>
      <c r="J39" s="148">
        <f t="shared" si="8"/>
        <v>24390.222743899998</v>
      </c>
      <c r="K39" s="148">
        <f t="shared" si="8"/>
        <v>24634.124971338999</v>
      </c>
      <c r="L39" s="148">
        <f t="shared" si="8"/>
        <v>24880.466221052389</v>
      </c>
      <c r="M39" s="148">
        <f t="shared" si="8"/>
        <v>25129.270883262914</v>
      </c>
      <c r="N39" s="148">
        <f t="shared" si="8"/>
        <v>25380.563592095543</v>
      </c>
      <c r="O39" s="140">
        <f t="shared" si="2"/>
        <v>217873.02280164984</v>
      </c>
    </row>
    <row r="40" spans="1:15" outlineLevel="1" x14ac:dyDescent="0.25">
      <c r="A40" s="83" t="s">
        <v>66</v>
      </c>
      <c r="B40" s="83"/>
      <c r="C40" s="148">
        <f>G13+G14+G15</f>
        <v>1800</v>
      </c>
      <c r="D40" s="148">
        <f>C40*(1+$G$16)</f>
        <v>1836</v>
      </c>
      <c r="E40" s="148">
        <f t="shared" ref="E40:N40" si="9">D40*(1+$G$16)</f>
        <v>1872.72</v>
      </c>
      <c r="F40" s="148">
        <f t="shared" si="9"/>
        <v>1910.1744000000001</v>
      </c>
      <c r="G40" s="148">
        <f t="shared" si="9"/>
        <v>1948.3778880000002</v>
      </c>
      <c r="H40" s="148">
        <f t="shared" si="9"/>
        <v>1987.3454457600003</v>
      </c>
      <c r="I40" s="148">
        <f t="shared" si="9"/>
        <v>2027.0923546752003</v>
      </c>
      <c r="J40" s="148">
        <f t="shared" si="9"/>
        <v>2067.6342017687043</v>
      </c>
      <c r="K40" s="148">
        <f t="shared" si="9"/>
        <v>2108.9868858040786</v>
      </c>
      <c r="L40" s="148">
        <f t="shared" si="9"/>
        <v>2151.1666235201601</v>
      </c>
      <c r="M40" s="148">
        <f t="shared" si="9"/>
        <v>2194.1899559905632</v>
      </c>
      <c r="N40" s="148">
        <f t="shared" si="9"/>
        <v>2238.0737551103743</v>
      </c>
      <c r="O40" s="140">
        <f t="shared" si="2"/>
        <v>24141.761510629076</v>
      </c>
    </row>
    <row r="41" spans="1:15" outlineLevel="1" x14ac:dyDescent="0.25">
      <c r="A41" s="83" t="s">
        <v>63</v>
      </c>
      <c r="B41" s="83"/>
      <c r="C41" s="148">
        <f>G19+G20+G21</f>
        <v>500</v>
      </c>
      <c r="D41" s="148">
        <f>C41</f>
        <v>500</v>
      </c>
      <c r="E41" s="148">
        <f>D41</f>
        <v>500</v>
      </c>
      <c r="F41" s="148">
        <f>G22+G23+G24</f>
        <v>5000</v>
      </c>
      <c r="G41" s="148">
        <f>F41*(1+$G$25)</f>
        <v>5050</v>
      </c>
      <c r="H41" s="148">
        <f t="shared" ref="H41:N41" si="10">G41*(1+$G$25)</f>
        <v>5100.5</v>
      </c>
      <c r="I41" s="148">
        <f t="shared" si="10"/>
        <v>5151.5050000000001</v>
      </c>
      <c r="J41" s="148">
        <f t="shared" si="10"/>
        <v>5203.0200500000001</v>
      </c>
      <c r="K41" s="148">
        <f t="shared" si="10"/>
        <v>5255.0502505000004</v>
      </c>
      <c r="L41" s="148">
        <f t="shared" si="10"/>
        <v>5307.6007530050001</v>
      </c>
      <c r="M41" s="148">
        <f t="shared" si="10"/>
        <v>5360.6767605350506</v>
      </c>
      <c r="N41" s="148">
        <f t="shared" si="10"/>
        <v>5414.2835281404014</v>
      </c>
      <c r="O41" s="140">
        <f t="shared" si="2"/>
        <v>48342.636342180449</v>
      </c>
    </row>
    <row r="42" spans="1:15" outlineLevel="1" x14ac:dyDescent="0.25">
      <c r="A42" s="83" t="s">
        <v>65</v>
      </c>
      <c r="B42" s="83"/>
      <c r="C42" s="148">
        <f>L12</f>
        <v>0</v>
      </c>
      <c r="D42" s="148">
        <f>L12</f>
        <v>0</v>
      </c>
      <c r="E42" s="148">
        <f>L12</f>
        <v>0</v>
      </c>
      <c r="F42" s="148">
        <f>L9*L10</f>
        <v>1500</v>
      </c>
      <c r="G42" s="148">
        <f t="shared" ref="G42:N42" si="11">F42*(1+$L$11)</f>
        <v>1515</v>
      </c>
      <c r="H42" s="148">
        <f t="shared" si="11"/>
        <v>1530.15</v>
      </c>
      <c r="I42" s="148">
        <f t="shared" si="11"/>
        <v>1545.4515000000001</v>
      </c>
      <c r="J42" s="148">
        <f t="shared" si="11"/>
        <v>1560.9060150000003</v>
      </c>
      <c r="K42" s="148">
        <f t="shared" si="11"/>
        <v>1576.5150751500003</v>
      </c>
      <c r="L42" s="148">
        <f t="shared" si="11"/>
        <v>1592.2802259015002</v>
      </c>
      <c r="M42" s="148">
        <f t="shared" si="11"/>
        <v>1608.2030281605153</v>
      </c>
      <c r="N42" s="148">
        <f t="shared" si="11"/>
        <v>1624.2850584421203</v>
      </c>
      <c r="O42" s="140">
        <f t="shared" si="2"/>
        <v>14052.790902654135</v>
      </c>
    </row>
    <row r="43" spans="1:15" outlineLevel="1" x14ac:dyDescent="0.25">
      <c r="A43" s="84" t="s">
        <v>78</v>
      </c>
      <c r="B43" s="84"/>
      <c r="C43" s="149">
        <f t="shared" ref="C43:N43" si="12">SUM(C32:C42)*$L$4</f>
        <v>1077.5</v>
      </c>
      <c r="D43" s="149">
        <f t="shared" si="12"/>
        <v>1090.05</v>
      </c>
      <c r="E43" s="149">
        <f t="shared" si="12"/>
        <v>1801.4390000000001</v>
      </c>
      <c r="F43" s="149">
        <f t="shared" si="12"/>
        <v>536.71777999999995</v>
      </c>
      <c r="G43" s="149">
        <f t="shared" si="12"/>
        <v>544.09213560000012</v>
      </c>
      <c r="H43" s="149">
        <f t="shared" si="12"/>
        <v>3247.0788783120006</v>
      </c>
      <c r="I43" s="149">
        <f t="shared" si="12"/>
        <v>5766.6716748782401</v>
      </c>
      <c r="J43" s="149">
        <f t="shared" si="12"/>
        <v>6171.5200168358051</v>
      </c>
      <c r="K43" s="149">
        <f t="shared" si="12"/>
        <v>6669.0779798052208</v>
      </c>
      <c r="L43" s="149">
        <f t="shared" si="12"/>
        <v>7286.4212204010955</v>
      </c>
      <c r="M43" s="149">
        <f t="shared" si="12"/>
        <v>8058.727583141851</v>
      </c>
      <c r="N43" s="149">
        <f t="shared" si="12"/>
        <v>9031.7071647594039</v>
      </c>
      <c r="O43" s="143">
        <f t="shared" si="2"/>
        <v>51281.003433733618</v>
      </c>
    </row>
    <row r="44" spans="1:15" x14ac:dyDescent="0.25">
      <c r="A44" s="2" t="s">
        <v>117</v>
      </c>
      <c r="B44" s="2"/>
      <c r="C44" s="139">
        <f>SUM(C32:C43)</f>
        <v>22627.5</v>
      </c>
      <c r="D44" s="139">
        <f t="shared" ref="D44:N44" si="13">SUM(D32:D43)</f>
        <v>22891.05</v>
      </c>
      <c r="E44" s="139">
        <f t="shared" si="13"/>
        <v>37830.218999999997</v>
      </c>
      <c r="F44" s="139">
        <f t="shared" si="13"/>
        <v>11271.073379999998</v>
      </c>
      <c r="G44" s="139">
        <f t="shared" si="13"/>
        <v>11425.934847600001</v>
      </c>
      <c r="H44" s="139">
        <f t="shared" si="13"/>
        <v>68188.656444552005</v>
      </c>
      <c r="I44" s="139">
        <f t="shared" si="13"/>
        <v>121100.10517244303</v>
      </c>
      <c r="J44" s="139">
        <f t="shared" si="13"/>
        <v>129601.92035355189</v>
      </c>
      <c r="K44" s="139">
        <f t="shared" si="13"/>
        <v>140050.63757590961</v>
      </c>
      <c r="L44" s="139">
        <f t="shared" si="13"/>
        <v>153014.84562842301</v>
      </c>
      <c r="M44" s="139">
        <f t="shared" si="13"/>
        <v>169233.27924597886</v>
      </c>
      <c r="N44" s="139">
        <f t="shared" si="13"/>
        <v>189665.85045994745</v>
      </c>
      <c r="O44" s="139">
        <f t="shared" si="2"/>
        <v>1076901.0721084059</v>
      </c>
    </row>
    <row r="45" spans="1:15" x14ac:dyDescent="0.25"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</row>
    <row r="46" spans="1:15" x14ac:dyDescent="0.25">
      <c r="A46" s="1" t="s">
        <v>69</v>
      </c>
      <c r="C46" s="148">
        <f t="shared" ref="C46:N46" si="14">C44*$B$29</f>
        <v>452.55</v>
      </c>
      <c r="D46" s="148">
        <f t="shared" si="14"/>
        <v>457.82099999999997</v>
      </c>
      <c r="E46" s="148">
        <f t="shared" si="14"/>
        <v>756.60437999999999</v>
      </c>
      <c r="F46" s="148">
        <f t="shared" si="14"/>
        <v>225.42146759999997</v>
      </c>
      <c r="G46" s="148">
        <f t="shared" si="14"/>
        <v>228.51869695200003</v>
      </c>
      <c r="H46" s="148">
        <f t="shared" si="14"/>
        <v>1363.7731288910402</v>
      </c>
      <c r="I46" s="148">
        <f t="shared" si="14"/>
        <v>2422.0021034488605</v>
      </c>
      <c r="J46" s="148">
        <f t="shared" si="14"/>
        <v>2592.0384070710379</v>
      </c>
      <c r="K46" s="148">
        <f t="shared" si="14"/>
        <v>2801.0127515181921</v>
      </c>
      <c r="L46" s="148">
        <f t="shared" si="14"/>
        <v>3060.2969125684604</v>
      </c>
      <c r="M46" s="148">
        <f t="shared" si="14"/>
        <v>3384.6655849195772</v>
      </c>
      <c r="N46" s="148">
        <f t="shared" si="14"/>
        <v>3793.3170091989491</v>
      </c>
      <c r="O46" s="142">
        <f>SUM(C46:N46)</f>
        <v>21538.021442168119</v>
      </c>
    </row>
  </sheetData>
  <mergeCells count="12">
    <mergeCell ref="J8:K8"/>
    <mergeCell ref="J3:K3"/>
    <mergeCell ref="J14:L14"/>
    <mergeCell ref="J21:L21"/>
    <mergeCell ref="A28:B28"/>
    <mergeCell ref="E3:F3"/>
    <mergeCell ref="A8:B8"/>
    <mergeCell ref="E8:F8"/>
    <mergeCell ref="A12:B12"/>
    <mergeCell ref="E12:F12"/>
    <mergeCell ref="A18:B18"/>
    <mergeCell ref="E18:G18"/>
  </mergeCells>
  <pageMargins left="0.7" right="0.7" top="0.75" bottom="0.75" header="0.3" footer="0.3"/>
  <ignoredErrors>
    <ignoredError sqref="C44:N44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/>
  </sheetPr>
  <dimension ref="A1:P34"/>
  <sheetViews>
    <sheetView showGridLines="0" topLeftCell="A5" zoomScale="118" zoomScaleNormal="90" workbookViewId="0">
      <selection activeCell="C29" sqref="C29"/>
    </sheetView>
  </sheetViews>
  <sheetFormatPr baseColWidth="10" defaultColWidth="9.1640625" defaultRowHeight="16" outlineLevelRow="1" x14ac:dyDescent="0.25"/>
  <cols>
    <col min="1" max="1" width="35.6640625" style="1" customWidth="1"/>
    <col min="2" max="2" width="10.5" style="1" customWidth="1"/>
    <col min="3" max="6" width="12.83203125" style="1" customWidth="1"/>
    <col min="7" max="7" width="13.1640625" style="1" bestFit="1" customWidth="1"/>
    <col min="8" max="15" width="12.83203125" style="1" customWidth="1"/>
    <col min="16" max="16384" width="9.1640625" style="1"/>
  </cols>
  <sheetData>
    <row r="1" spans="1:16" s="4" customFormat="1" x14ac:dyDescent="0.25">
      <c r="A1" s="25" t="str">
        <f>"Operating Expenses - "&amp;C2&amp;"-"&amp;G2</f>
        <v>Operating Expenses - 2020-2024</v>
      </c>
      <c r="B1" s="25"/>
    </row>
    <row r="2" spans="1:16" s="85" customFormat="1" x14ac:dyDescent="0.25">
      <c r="A2" s="9" t="s">
        <v>79</v>
      </c>
      <c r="B2" s="54"/>
      <c r="C2" s="9">
        <v>2020</v>
      </c>
      <c r="D2" s="9">
        <f>C2+1</f>
        <v>2021</v>
      </c>
      <c r="E2" s="9">
        <f t="shared" ref="E2:G2" si="0">D2+1</f>
        <v>2022</v>
      </c>
      <c r="F2" s="9">
        <f t="shared" si="0"/>
        <v>2023</v>
      </c>
      <c r="G2" s="9">
        <f t="shared" si="0"/>
        <v>2024</v>
      </c>
    </row>
    <row r="3" spans="1:16" s="85" customFormat="1" outlineLevel="1" x14ac:dyDescent="0.25">
      <c r="A3" s="1" t="s">
        <v>58</v>
      </c>
      <c r="B3" s="1"/>
      <c r="C3" s="55"/>
      <c r="D3" s="55">
        <v>18</v>
      </c>
      <c r="E3" s="55">
        <v>1</v>
      </c>
      <c r="F3" s="55">
        <v>0.5</v>
      </c>
      <c r="G3" s="55">
        <v>0.2</v>
      </c>
    </row>
    <row r="4" spans="1:16" s="85" customFormat="1" outlineLevel="1" x14ac:dyDescent="0.25">
      <c r="A4" s="1" t="s">
        <v>132</v>
      </c>
      <c r="B4" s="1"/>
      <c r="C4" s="55">
        <f>IFERROR(C33/'Balance Sheet 2020-2024'!C60,0)</f>
        <v>1.5085000000000001E-3</v>
      </c>
      <c r="D4" s="89">
        <f>C4</f>
        <v>1.5085000000000001E-3</v>
      </c>
      <c r="E4" s="89">
        <f t="shared" ref="E4:G4" si="1">D4</f>
        <v>1.5085000000000001E-3</v>
      </c>
      <c r="F4" s="89">
        <f t="shared" si="1"/>
        <v>1.5085000000000001E-3</v>
      </c>
      <c r="G4" s="89">
        <f t="shared" si="1"/>
        <v>1.5085000000000001E-3</v>
      </c>
    </row>
    <row r="5" spans="1:16" s="85" customFormat="1" outlineLevel="1" x14ac:dyDescent="0.25">
      <c r="A5" s="1" t="s">
        <v>61</v>
      </c>
      <c r="B5" s="1"/>
      <c r="C5" s="55"/>
      <c r="D5" s="55">
        <v>0.3</v>
      </c>
      <c r="E5" s="55">
        <v>0.3</v>
      </c>
      <c r="F5" s="55">
        <v>0.3</v>
      </c>
      <c r="G5" s="55">
        <v>0.3</v>
      </c>
    </row>
    <row r="6" spans="1:16" s="85" customFormat="1" outlineLevel="1" x14ac:dyDescent="0.25">
      <c r="A6" s="1" t="s">
        <v>59</v>
      </c>
      <c r="B6" s="1"/>
      <c r="C6" s="55"/>
      <c r="D6" s="55">
        <v>0.8</v>
      </c>
      <c r="E6" s="55">
        <v>0.3</v>
      </c>
      <c r="F6" s="55">
        <v>0.3</v>
      </c>
      <c r="G6" s="55">
        <v>0.3</v>
      </c>
    </row>
    <row r="7" spans="1:16" s="85" customFormat="1" outlineLevel="1" x14ac:dyDescent="0.25">
      <c r="A7" s="1" t="s">
        <v>76</v>
      </c>
      <c r="B7" s="1"/>
      <c r="C7" s="55"/>
      <c r="D7" s="55">
        <v>0.7</v>
      </c>
      <c r="E7" s="55">
        <v>0.5</v>
      </c>
      <c r="F7" s="55">
        <v>0.2</v>
      </c>
      <c r="G7" s="55">
        <v>0.2</v>
      </c>
    </row>
    <row r="8" spans="1:16" s="85" customFormat="1" outlineLevel="1" x14ac:dyDescent="0.25">
      <c r="A8" s="1" t="s">
        <v>60</v>
      </c>
      <c r="B8" s="1"/>
      <c r="C8" s="55"/>
      <c r="D8" s="55">
        <v>1.4999999999999999E-2</v>
      </c>
      <c r="E8" s="55">
        <v>1.4999999999999999E-2</v>
      </c>
      <c r="F8" s="55">
        <v>0.02</v>
      </c>
      <c r="G8" s="55">
        <v>0.02</v>
      </c>
    </row>
    <row r="9" spans="1:16" s="85" customFormat="1" outlineLevel="1" x14ac:dyDescent="0.25">
      <c r="A9" s="1" t="s">
        <v>62</v>
      </c>
      <c r="B9" s="1"/>
      <c r="C9" s="55"/>
      <c r="D9" s="55">
        <v>0.3</v>
      </c>
      <c r="E9" s="55">
        <v>0.1</v>
      </c>
      <c r="F9" s="55">
        <v>0.1</v>
      </c>
      <c r="G9" s="55">
        <v>0.05</v>
      </c>
    </row>
    <row r="10" spans="1:16" s="85" customFormat="1" outlineLevel="1" x14ac:dyDescent="0.25">
      <c r="A10" s="1" t="s">
        <v>77</v>
      </c>
      <c r="B10" s="1"/>
      <c r="C10" s="55"/>
      <c r="D10" s="55">
        <v>0.1</v>
      </c>
      <c r="E10" s="55">
        <v>0.1</v>
      </c>
      <c r="F10" s="55">
        <v>0.05</v>
      </c>
      <c r="G10" s="55">
        <v>0.05</v>
      </c>
    </row>
    <row r="11" spans="1:16" s="85" customFormat="1" outlineLevel="1" x14ac:dyDescent="0.25">
      <c r="A11" s="1" t="s">
        <v>66</v>
      </c>
      <c r="B11" s="1"/>
      <c r="C11" s="55"/>
      <c r="D11" s="55">
        <v>3</v>
      </c>
      <c r="E11" s="55">
        <v>0.1</v>
      </c>
      <c r="F11" s="55">
        <v>0.1</v>
      </c>
      <c r="G11" s="55">
        <v>0.1</v>
      </c>
    </row>
    <row r="12" spans="1:16" s="85" customFormat="1" outlineLevel="1" x14ac:dyDescent="0.25">
      <c r="A12" s="1" t="s">
        <v>63</v>
      </c>
      <c r="B12" s="1"/>
      <c r="C12" s="55"/>
      <c r="D12" s="55">
        <v>0.2</v>
      </c>
      <c r="E12" s="55">
        <v>0.05</v>
      </c>
      <c r="F12" s="55">
        <v>0.05</v>
      </c>
      <c r="G12" s="55">
        <v>0.05</v>
      </c>
    </row>
    <row r="13" spans="1:16" s="85" customFormat="1" outlineLevel="1" x14ac:dyDescent="0.25">
      <c r="A13" s="1" t="s">
        <v>65</v>
      </c>
      <c r="B13" s="1"/>
      <c r="C13" s="55"/>
      <c r="D13" s="55">
        <v>0.05</v>
      </c>
      <c r="E13" s="55">
        <v>0.05</v>
      </c>
      <c r="F13" s="55">
        <v>0.05</v>
      </c>
      <c r="G13" s="55">
        <v>0.05</v>
      </c>
    </row>
    <row r="14" spans="1:16" s="85" customFormat="1" outlineLevel="1" x14ac:dyDescent="0.25">
      <c r="A14" s="1" t="s">
        <v>78</v>
      </c>
      <c r="B14" s="1"/>
      <c r="C14" s="55"/>
      <c r="D14" s="55">
        <v>0.01</v>
      </c>
      <c r="E14" s="55">
        <v>0.01</v>
      </c>
      <c r="F14" s="55">
        <v>0.01</v>
      </c>
      <c r="G14" s="55">
        <v>0.01</v>
      </c>
    </row>
    <row r="15" spans="1:16" s="85" customFormat="1" outlineLevel="1" x14ac:dyDescent="0.25">
      <c r="A15" s="1" t="s">
        <v>133</v>
      </c>
      <c r="B15" s="1"/>
      <c r="C15" s="55">
        <f>IFERROR(C33/'Balance Sheet 2020-2024'!C60,0)</f>
        <v>1.5085000000000001E-3</v>
      </c>
      <c r="D15" s="89">
        <f>C15</f>
        <v>1.5085000000000001E-3</v>
      </c>
      <c r="E15" s="89">
        <f t="shared" ref="E15:G15" si="2">D15</f>
        <v>1.5085000000000001E-3</v>
      </c>
      <c r="F15" s="89">
        <f t="shared" si="2"/>
        <v>1.5085000000000001E-3</v>
      </c>
      <c r="G15" s="89">
        <f t="shared" si="2"/>
        <v>1.5085000000000001E-3</v>
      </c>
    </row>
    <row r="16" spans="1:16" s="85" customFormat="1" outlineLevel="1" x14ac:dyDescent="0.25">
      <c r="A16" s="1"/>
      <c r="B16" s="1"/>
      <c r="C16" s="55"/>
      <c r="D16" s="55"/>
      <c r="E16" s="55"/>
      <c r="F16" s="55"/>
      <c r="G16" s="55"/>
      <c r="H16"/>
      <c r="I16"/>
      <c r="J16"/>
      <c r="K16"/>
      <c r="L16"/>
      <c r="M16"/>
      <c r="N16"/>
      <c r="O16"/>
      <c r="P16"/>
    </row>
    <row r="17" spans="1:16" s="85" customFormat="1" x14ac:dyDescent="0.25">
      <c r="A17" s="1"/>
      <c r="B17" s="1"/>
      <c r="C17" s="55"/>
      <c r="D17" s="55"/>
      <c r="E17" s="55"/>
      <c r="F17" s="55"/>
      <c r="G17" s="55"/>
      <c r="H17"/>
      <c r="I17"/>
      <c r="J17"/>
      <c r="K17"/>
      <c r="L17"/>
      <c r="M17"/>
      <c r="N17"/>
      <c r="O17"/>
      <c r="P17"/>
    </row>
    <row r="18" spans="1:16" x14ac:dyDescent="0.25">
      <c r="A18" s="9" t="s">
        <v>116</v>
      </c>
      <c r="B18" s="9"/>
      <c r="C18" s="86">
        <f>C2</f>
        <v>2020</v>
      </c>
      <c r="D18" s="86">
        <f t="shared" ref="D18:G18" si="3">D2</f>
        <v>2021</v>
      </c>
      <c r="E18" s="86">
        <f t="shared" si="3"/>
        <v>2022</v>
      </c>
      <c r="F18" s="86">
        <f t="shared" si="3"/>
        <v>2023</v>
      </c>
      <c r="G18" s="86">
        <f t="shared" si="3"/>
        <v>2024</v>
      </c>
      <c r="H18"/>
      <c r="I18"/>
      <c r="J18"/>
      <c r="K18"/>
      <c r="L18"/>
      <c r="M18"/>
      <c r="N18"/>
      <c r="O18"/>
      <c r="P18"/>
    </row>
    <row r="19" spans="1:16" outlineLevel="1" x14ac:dyDescent="0.25">
      <c r="A19" s="83" t="s">
        <v>58</v>
      </c>
      <c r="B19" s="83"/>
      <c r="C19" s="146">
        <f>'Operating Expenses 2020'!O32</f>
        <v>255120.6</v>
      </c>
      <c r="D19" s="146">
        <f>C19*(1+D3)</f>
        <v>4847291.4000000004</v>
      </c>
      <c r="E19" s="146">
        <f t="shared" ref="E19:G19" si="4">D19*(1+E3)</f>
        <v>9694582.8000000007</v>
      </c>
      <c r="F19" s="146">
        <f t="shared" si="4"/>
        <v>14541874.200000001</v>
      </c>
      <c r="G19" s="146">
        <f t="shared" si="4"/>
        <v>17450249.039999999</v>
      </c>
      <c r="H19"/>
      <c r="I19"/>
      <c r="J19"/>
      <c r="K19"/>
      <c r="L19"/>
      <c r="M19"/>
      <c r="N19"/>
      <c r="O19"/>
      <c r="P19"/>
    </row>
    <row r="20" spans="1:16" outlineLevel="1" x14ac:dyDescent="0.25">
      <c r="A20" s="83" t="s">
        <v>75</v>
      </c>
      <c r="B20" s="83"/>
      <c r="C20" s="146">
        <f>'Operating Expenses 2020'!O33</f>
        <v>6225</v>
      </c>
      <c r="D20" s="146">
        <f>'Balance Sheet 2020-2024'!D54*'Operating Expenses 2020-2024'!D4</f>
        <v>201.7995875</v>
      </c>
      <c r="E20" s="146">
        <f>'Balance Sheet 2020-2024'!E54*'Operating Expenses 2020-2024'!E4</f>
        <v>382.51517282225626</v>
      </c>
      <c r="F20" s="146">
        <f>'Balance Sheet 2020-2024'!F54*'Operating Expenses 2020-2024'!F4</f>
        <v>562.95814868405387</v>
      </c>
      <c r="G20" s="146">
        <f>'Balance Sheet 2020-2024'!G54*'Operating Expenses 2020-2024'!G4</f>
        <v>743.12892631676402</v>
      </c>
      <c r="H20"/>
      <c r="I20"/>
      <c r="J20"/>
      <c r="K20"/>
      <c r="L20"/>
      <c r="M20"/>
      <c r="N20"/>
      <c r="O20"/>
      <c r="P20"/>
    </row>
    <row r="21" spans="1:16" outlineLevel="1" x14ac:dyDescent="0.25">
      <c r="A21" s="83" t="s">
        <v>61</v>
      </c>
      <c r="B21" s="83"/>
      <c r="C21" s="146">
        <f>'Operating Expenses 2020'!O34</f>
        <v>13463.87931147073</v>
      </c>
      <c r="D21" s="146">
        <f t="shared" ref="D21:G21" si="5">C21*(1+D5)</f>
        <v>17503.043104911951</v>
      </c>
      <c r="E21" s="146">
        <f t="shared" si="5"/>
        <v>22753.956036385538</v>
      </c>
      <c r="F21" s="146">
        <f t="shared" si="5"/>
        <v>29580.142847301202</v>
      </c>
      <c r="G21" s="146">
        <f t="shared" si="5"/>
        <v>38454.185701491566</v>
      </c>
      <c r="H21"/>
      <c r="I21"/>
      <c r="J21"/>
      <c r="K21"/>
      <c r="L21"/>
      <c r="M21"/>
      <c r="N21"/>
      <c r="O21"/>
      <c r="P21"/>
    </row>
    <row r="22" spans="1:16" outlineLevel="1" x14ac:dyDescent="0.25">
      <c r="A22" s="83" t="s">
        <v>59</v>
      </c>
      <c r="B22" s="83"/>
      <c r="C22" s="146">
        <f>'Operating Expenses 2020'!O35</f>
        <v>6474.8604998689289</v>
      </c>
      <c r="D22" s="146">
        <f t="shared" ref="D22:G22" si="6">C22*(1+D6)</f>
        <v>11654.748899764072</v>
      </c>
      <c r="E22" s="146">
        <f t="shared" si="6"/>
        <v>15151.173569693294</v>
      </c>
      <c r="F22" s="146">
        <f t="shared" si="6"/>
        <v>19696.525640601281</v>
      </c>
      <c r="G22" s="146">
        <f t="shared" si="6"/>
        <v>25605.483332781667</v>
      </c>
      <c r="H22"/>
      <c r="I22"/>
      <c r="J22"/>
      <c r="K22"/>
      <c r="L22"/>
      <c r="M22"/>
      <c r="N22"/>
      <c r="O22"/>
      <c r="P22"/>
    </row>
    <row r="23" spans="1:16" outlineLevel="1" x14ac:dyDescent="0.25">
      <c r="A23" s="83" t="s">
        <v>76</v>
      </c>
      <c r="B23" s="83"/>
      <c r="C23" s="146">
        <f>'Operating Expenses 2020'!O36</f>
        <v>323420.49421500001</v>
      </c>
      <c r="D23" s="146">
        <f t="shared" ref="D23:G23" si="7">C23*(1+D7)</f>
        <v>549814.84016550006</v>
      </c>
      <c r="E23" s="146">
        <f t="shared" si="7"/>
        <v>824722.2602482501</v>
      </c>
      <c r="F23" s="146">
        <f t="shared" si="7"/>
        <v>989666.71229790011</v>
      </c>
      <c r="G23" s="146">
        <f t="shared" si="7"/>
        <v>1187600.05475748</v>
      </c>
      <c r="H23"/>
      <c r="I23"/>
      <c r="J23"/>
      <c r="K23"/>
      <c r="L23"/>
      <c r="M23"/>
      <c r="N23"/>
      <c r="O23"/>
      <c r="P23"/>
    </row>
    <row r="24" spans="1:16" outlineLevel="1" x14ac:dyDescent="0.25">
      <c r="A24" s="83" t="s">
        <v>60</v>
      </c>
      <c r="B24" s="83"/>
      <c r="C24" s="146">
        <f>'Operating Expenses 2020'!O37</f>
        <v>2011.8134592190902</v>
      </c>
      <c r="D24" s="146">
        <f t="shared" ref="D24:G24" si="8">C24*(1+D8)</f>
        <v>2041.9906611073764</v>
      </c>
      <c r="E24" s="146">
        <f t="shared" si="8"/>
        <v>2072.6205210239868</v>
      </c>
      <c r="F24" s="146">
        <f t="shared" si="8"/>
        <v>2114.0729314444666</v>
      </c>
      <c r="G24" s="146">
        <f t="shared" si="8"/>
        <v>2156.3543900733562</v>
      </c>
      <c r="H24"/>
      <c r="I24"/>
      <c r="J24"/>
      <c r="K24"/>
      <c r="L24"/>
      <c r="M24"/>
      <c r="N24"/>
      <c r="O24"/>
      <c r="P24"/>
    </row>
    <row r="25" spans="1:16" outlineLevel="1" x14ac:dyDescent="0.25">
      <c r="A25" s="83" t="s">
        <v>62</v>
      </c>
      <c r="B25" s="83"/>
      <c r="C25" s="146">
        <f>'Operating Expenses 2020'!O38</f>
        <v>114493.209632</v>
      </c>
      <c r="D25" s="146">
        <f t="shared" ref="D25:G25" si="9">C25*(1+D9)</f>
        <v>148841.1725216</v>
      </c>
      <c r="E25" s="146">
        <f t="shared" si="9"/>
        <v>163725.28977376001</v>
      </c>
      <c r="F25" s="146">
        <f t="shared" si="9"/>
        <v>180097.81875113602</v>
      </c>
      <c r="G25" s="146">
        <f t="shared" si="9"/>
        <v>189102.70968869282</v>
      </c>
      <c r="H25"/>
      <c r="I25"/>
      <c r="J25"/>
      <c r="K25"/>
      <c r="L25"/>
      <c r="M25"/>
      <c r="N25"/>
      <c r="O25"/>
      <c r="P25"/>
    </row>
    <row r="26" spans="1:16" outlineLevel="1" x14ac:dyDescent="0.25">
      <c r="A26" s="83" t="s">
        <v>77</v>
      </c>
      <c r="B26" s="83"/>
      <c r="C26" s="146">
        <f>'Operating Expenses 2020'!O39</f>
        <v>217873.02280164984</v>
      </c>
      <c r="D26" s="146">
        <f t="shared" ref="D26:G26" si="10">C26*(1+D10)</f>
        <v>239660.32508181484</v>
      </c>
      <c r="E26" s="146">
        <f t="shared" si="10"/>
        <v>263626.35758999636</v>
      </c>
      <c r="F26" s="146">
        <f t="shared" si="10"/>
        <v>276807.67546949617</v>
      </c>
      <c r="G26" s="146">
        <f t="shared" si="10"/>
        <v>290648.05924297101</v>
      </c>
      <c r="H26"/>
      <c r="I26"/>
      <c r="J26"/>
      <c r="K26"/>
      <c r="L26"/>
      <c r="M26"/>
      <c r="N26"/>
      <c r="O26"/>
      <c r="P26"/>
    </row>
    <row r="27" spans="1:16" outlineLevel="1" x14ac:dyDescent="0.25">
      <c r="A27" s="83" t="s">
        <v>66</v>
      </c>
      <c r="B27" s="83"/>
      <c r="C27" s="146">
        <f>'Operating Expenses 2020'!O40</f>
        <v>24141.761510629076</v>
      </c>
      <c r="D27" s="146">
        <f t="shared" ref="D27:G27" si="11">C27*(1+D11)</f>
        <v>96567.046042516304</v>
      </c>
      <c r="E27" s="146">
        <f t="shared" si="11"/>
        <v>106223.75064676795</v>
      </c>
      <c r="F27" s="146">
        <f t="shared" si="11"/>
        <v>116846.12571144475</v>
      </c>
      <c r="G27" s="146">
        <f t="shared" si="11"/>
        <v>128530.73828258924</v>
      </c>
      <c r="H27"/>
      <c r="I27"/>
      <c r="J27"/>
      <c r="K27"/>
      <c r="L27"/>
      <c r="M27"/>
      <c r="N27"/>
      <c r="O27"/>
      <c r="P27"/>
    </row>
    <row r="28" spans="1:16" outlineLevel="1" x14ac:dyDescent="0.25">
      <c r="A28" s="83" t="s">
        <v>63</v>
      </c>
      <c r="B28" s="83"/>
      <c r="C28" s="146">
        <f>'Operating Expenses 2020'!O41</f>
        <v>48342.636342180449</v>
      </c>
      <c r="D28" s="146">
        <f t="shared" ref="D28:G28" si="12">C28*(1+D12)</f>
        <v>58011.163610616539</v>
      </c>
      <c r="E28" s="146">
        <f t="shared" si="12"/>
        <v>60911.721791147371</v>
      </c>
      <c r="F28" s="146">
        <f t="shared" si="12"/>
        <v>63957.307880704742</v>
      </c>
      <c r="G28" s="146">
        <f t="shared" si="12"/>
        <v>67155.17327473998</v>
      </c>
      <c r="H28"/>
      <c r="I28"/>
      <c r="J28"/>
      <c r="K28"/>
      <c r="L28"/>
      <c r="M28"/>
      <c r="N28"/>
      <c r="O28"/>
      <c r="P28"/>
    </row>
    <row r="29" spans="1:16" outlineLevel="1" x14ac:dyDescent="0.25">
      <c r="A29" s="83" t="s">
        <v>65</v>
      </c>
      <c r="B29" s="83"/>
      <c r="C29" s="146">
        <f>'Operating Expenses 2020'!O42</f>
        <v>14052.790902654135</v>
      </c>
      <c r="D29" s="146">
        <f t="shared" ref="D29:G29" si="13">C29*(1+D13)</f>
        <v>14755.430447786843</v>
      </c>
      <c r="E29" s="146">
        <f t="shared" si="13"/>
        <v>15493.201970176186</v>
      </c>
      <c r="F29" s="146">
        <f t="shared" si="13"/>
        <v>16267.862068684995</v>
      </c>
      <c r="G29" s="146">
        <f t="shared" si="13"/>
        <v>17081.255172119247</v>
      </c>
      <c r="H29"/>
      <c r="I29"/>
      <c r="J29"/>
      <c r="K29"/>
      <c r="L29"/>
      <c r="M29"/>
      <c r="N29"/>
      <c r="O29"/>
      <c r="P29"/>
    </row>
    <row r="30" spans="1:16" outlineLevel="1" x14ac:dyDescent="0.25">
      <c r="A30" s="84" t="s">
        <v>78</v>
      </c>
      <c r="B30" s="84"/>
      <c r="C30" s="147">
        <f>'Operating Expenses 2020'!O43</f>
        <v>51281.003433733618</v>
      </c>
      <c r="D30" s="147">
        <f t="shared" ref="D30:G30" si="14">C30*(1+D14)</f>
        <v>51793.813468070955</v>
      </c>
      <c r="E30" s="147">
        <f t="shared" si="14"/>
        <v>52311.751602751669</v>
      </c>
      <c r="F30" s="147">
        <f t="shared" si="14"/>
        <v>52834.869118779185</v>
      </c>
      <c r="G30" s="147">
        <f t="shared" si="14"/>
        <v>53363.217809966976</v>
      </c>
      <c r="H30"/>
      <c r="I30"/>
      <c r="J30"/>
      <c r="K30"/>
      <c r="L30"/>
      <c r="M30"/>
      <c r="N30"/>
      <c r="O30"/>
      <c r="P30"/>
    </row>
    <row r="31" spans="1:16" outlineLevel="1" x14ac:dyDescent="0.25">
      <c r="A31" s="2" t="s">
        <v>117</v>
      </c>
      <c r="B31" s="2"/>
      <c r="C31" s="139">
        <f>SUM(C19:C30)</f>
        <v>1076901.0721084059</v>
      </c>
      <c r="D31" s="139">
        <f t="shared" ref="D31:G31" si="15">SUM(D19:D30)</f>
        <v>6038136.7735911896</v>
      </c>
      <c r="E31" s="139">
        <f t="shared" si="15"/>
        <v>11221957.398922777</v>
      </c>
      <c r="F31" s="139">
        <f t="shared" si="15"/>
        <v>16290306.270866178</v>
      </c>
      <c r="G31" s="139">
        <f t="shared" si="15"/>
        <v>19450689.400579229</v>
      </c>
      <c r="H31"/>
      <c r="I31"/>
      <c r="J31"/>
      <c r="K31"/>
      <c r="L31"/>
      <c r="M31"/>
      <c r="N31"/>
      <c r="O31"/>
      <c r="P31"/>
    </row>
    <row r="32" spans="1:16" outlineLevel="1" x14ac:dyDescent="0.25">
      <c r="C32" s="140"/>
      <c r="D32" s="140"/>
      <c r="E32" s="140"/>
      <c r="F32" s="140"/>
      <c r="G32" s="140"/>
    </row>
    <row r="33" spans="1:7" outlineLevel="1" x14ac:dyDescent="0.25">
      <c r="A33" s="1" t="s">
        <v>69</v>
      </c>
      <c r="C33" s="140">
        <f>'Operating Expenses 2020'!C46</f>
        <v>452.55</v>
      </c>
      <c r="D33" s="140">
        <f>'Balance Sheet 2020-2024'!D60*'Operating Expenses 2020-2024'!D15</f>
        <v>452.55</v>
      </c>
      <c r="E33" s="140">
        <f>'Balance Sheet 2020-2024'!E60*'Operating Expenses 2020-2024'!E15</f>
        <v>452.55</v>
      </c>
      <c r="F33" s="140">
        <f>'Balance Sheet 2020-2024'!F60*'Operating Expenses 2020-2024'!F15</f>
        <v>452.55</v>
      </c>
      <c r="G33" s="140">
        <f>'Balance Sheet 2020-2024'!G60*'Operating Expenses 2020-2024'!G15</f>
        <v>452.55</v>
      </c>
    </row>
    <row r="34" spans="1:7" outlineLevel="1" x14ac:dyDescent="0.25"/>
  </sheetData>
  <pageMargins left="0.7" right="0.7" top="0.75" bottom="0.75" header="0.3" footer="0.3"/>
  <ignoredErrors>
    <ignoredError sqref="D20:G20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/>
  </sheetPr>
  <dimension ref="A1:O30"/>
  <sheetViews>
    <sheetView showGridLines="0" zoomScale="140" zoomScaleNormal="90" workbookViewId="0">
      <pane ySplit="2" topLeftCell="A3" activePane="bottomLeft" state="frozen"/>
      <selection pane="bottomLeft" activeCell="D24" sqref="D24"/>
    </sheetView>
  </sheetViews>
  <sheetFormatPr baseColWidth="10" defaultColWidth="9.1640625" defaultRowHeight="16" x14ac:dyDescent="0.25"/>
  <cols>
    <col min="1" max="1" width="28.33203125" style="1" customWidth="1"/>
    <col min="2" max="2" width="9.33203125" style="1" customWidth="1"/>
    <col min="3" max="15" width="12.5" style="1" customWidth="1"/>
    <col min="16" max="16384" width="9.1640625" style="1"/>
  </cols>
  <sheetData>
    <row r="1" spans="1:15" s="4" customFormat="1" x14ac:dyDescent="0.25">
      <c r="A1" s="52" t="str">
        <f>"Income Statement - "&amp;C1</f>
        <v>Income Statement - 2020</v>
      </c>
      <c r="C1" s="49">
        <v>2020</v>
      </c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pans="1:15" s="4" customFormat="1" x14ac:dyDescent="0.25">
      <c r="A2" s="51"/>
      <c r="B2" s="3"/>
      <c r="C2" s="48" t="s">
        <v>43</v>
      </c>
      <c r="D2" s="48" t="s">
        <v>44</v>
      </c>
      <c r="E2" s="48" t="s">
        <v>45</v>
      </c>
      <c r="F2" s="48" t="s">
        <v>46</v>
      </c>
      <c r="G2" s="48" t="s">
        <v>0</v>
      </c>
      <c r="H2" s="48" t="s">
        <v>47</v>
      </c>
      <c r="I2" s="48" t="s">
        <v>48</v>
      </c>
      <c r="J2" s="48" t="s">
        <v>49</v>
      </c>
      <c r="K2" s="48" t="s">
        <v>50</v>
      </c>
      <c r="L2" s="48" t="s">
        <v>51</v>
      </c>
      <c r="M2" s="48" t="s">
        <v>52</v>
      </c>
      <c r="N2" s="48" t="s">
        <v>53</v>
      </c>
      <c r="O2" s="48" t="s">
        <v>74</v>
      </c>
    </row>
    <row r="3" spans="1:15" x14ac:dyDescent="0.25">
      <c r="A3" s="243" t="s">
        <v>54</v>
      </c>
      <c r="B3" s="244"/>
      <c r="C3" s="137">
        <f>TURNOVER!C52</f>
        <v>1870.4</v>
      </c>
      <c r="D3" s="137">
        <f>TURNOVER!D52</f>
        <v>3740.8</v>
      </c>
      <c r="E3" s="137">
        <f>TURNOVER!E52</f>
        <v>5861.2</v>
      </c>
      <c r="F3" s="137">
        <f>TURNOVER!F52</f>
        <v>9551.6</v>
      </c>
      <c r="G3" s="137">
        <f>TURNOVER!G52</f>
        <v>13242</v>
      </c>
      <c r="H3" s="137">
        <f>TURNOVER!H52</f>
        <v>16932.400000000001</v>
      </c>
      <c r="I3" s="137">
        <f>TURNOVER!I52</f>
        <v>20622.8</v>
      </c>
      <c r="J3" s="137">
        <f>TURNOVER!J52</f>
        <v>28454</v>
      </c>
      <c r="K3" s="137">
        <f>TURNOVER!K52</f>
        <v>37093.1</v>
      </c>
      <c r="L3" s="137">
        <f>TURNOVER!L52</f>
        <v>49148</v>
      </c>
      <c r="M3" s="137">
        <f>TURNOVER!M52</f>
        <v>64661.2</v>
      </c>
      <c r="N3" s="137">
        <f>TURNOVER!N52</f>
        <v>103640.2</v>
      </c>
      <c r="O3" s="140">
        <f t="shared" ref="O3:O29" si="0">SUM(C3:N3)</f>
        <v>354817.7</v>
      </c>
    </row>
    <row r="4" spans="1:15" x14ac:dyDescent="0.25">
      <c r="A4" s="245" t="s">
        <v>626</v>
      </c>
      <c r="B4" s="245"/>
      <c r="C4" s="138">
        <f>TURNOVER!C86</f>
        <v>380.2</v>
      </c>
      <c r="D4" s="138">
        <f>TURNOVER!D86</f>
        <v>626.20000000000016</v>
      </c>
      <c r="E4" s="138">
        <f>TURNOVER!E86</f>
        <v>776.4000000000002</v>
      </c>
      <c r="F4" s="138">
        <f>TURNOVER!F86</f>
        <v>906.59999999999923</v>
      </c>
      <c r="G4" s="138">
        <f>TURNOVER!G86</f>
        <v>1138.7999999999993</v>
      </c>
      <c r="H4" s="138">
        <f>TURNOVER!H86</f>
        <v>1163.9999999999993</v>
      </c>
      <c r="I4" s="138">
        <f>TURNOVER!I86</f>
        <v>1189.1999999999994</v>
      </c>
      <c r="J4" s="138">
        <f>TURNOVER!J86</f>
        <v>2054.7999999999993</v>
      </c>
      <c r="K4" s="138">
        <f>TURNOVER!K86</f>
        <v>3211.5999999999995</v>
      </c>
      <c r="L4" s="138">
        <f>TURNOVER!L86</f>
        <v>5344.2000000000007</v>
      </c>
      <c r="M4" s="138">
        <f>TURNOVER!M86</f>
        <v>7950.1999999999989</v>
      </c>
      <c r="N4" s="138">
        <f>TURNOVER!N86</f>
        <v>20341.799999999996</v>
      </c>
      <c r="O4" s="140">
        <f t="shared" si="0"/>
        <v>45083.999999999993</v>
      </c>
    </row>
    <row r="5" spans="1:15" x14ac:dyDescent="0.25">
      <c r="A5" s="243" t="s">
        <v>56</v>
      </c>
      <c r="B5" s="243"/>
      <c r="C5" s="139">
        <f>C3-C4</f>
        <v>1490.2</v>
      </c>
      <c r="D5" s="139">
        <f t="shared" ref="D5:N5" si="1">D3-D4</f>
        <v>3114.6</v>
      </c>
      <c r="E5" s="139">
        <f t="shared" si="1"/>
        <v>5084.7999999999993</v>
      </c>
      <c r="F5" s="139">
        <f t="shared" si="1"/>
        <v>8645.0000000000018</v>
      </c>
      <c r="G5" s="139">
        <f t="shared" si="1"/>
        <v>12103.2</v>
      </c>
      <c r="H5" s="139">
        <f t="shared" si="1"/>
        <v>15768.400000000001</v>
      </c>
      <c r="I5" s="139">
        <f t="shared" si="1"/>
        <v>19433.599999999999</v>
      </c>
      <c r="J5" s="139">
        <f t="shared" si="1"/>
        <v>26399.200000000001</v>
      </c>
      <c r="K5" s="139">
        <f t="shared" si="1"/>
        <v>33881.5</v>
      </c>
      <c r="L5" s="139">
        <f t="shared" si="1"/>
        <v>43803.8</v>
      </c>
      <c r="M5" s="139">
        <f t="shared" si="1"/>
        <v>56711</v>
      </c>
      <c r="N5" s="139">
        <f t="shared" si="1"/>
        <v>83298.399999999994</v>
      </c>
      <c r="O5" s="198">
        <f t="shared" si="0"/>
        <v>309733.69999999995</v>
      </c>
    </row>
    <row r="6" spans="1:15" x14ac:dyDescent="0.25">
      <c r="A6" s="2"/>
      <c r="B6" s="2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</row>
    <row r="7" spans="1:15" x14ac:dyDescent="0.25">
      <c r="A7" s="243" t="s">
        <v>57</v>
      </c>
      <c r="B7" s="244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</row>
    <row r="8" spans="1:15" x14ac:dyDescent="0.25">
      <c r="A8" s="246" t="s">
        <v>58</v>
      </c>
      <c r="B8" s="244"/>
      <c r="C8" s="137">
        <f>'Operating Expenses 2020'!C32</f>
        <v>0</v>
      </c>
      <c r="D8" s="137">
        <f>'Operating Expenses 2020'!D32</f>
        <v>0</v>
      </c>
      <c r="E8" s="137">
        <f>'Operating Expenses 2020'!E32</f>
        <v>0</v>
      </c>
      <c r="F8" s="137">
        <f>'Operating Expenses 2020'!F32</f>
        <v>0</v>
      </c>
      <c r="G8" s="137">
        <f>'Operating Expenses 2020'!G32</f>
        <v>0</v>
      </c>
      <c r="H8" s="137">
        <f>'Operating Expenses 2020'!H32</f>
        <v>0</v>
      </c>
      <c r="I8" s="137">
        <f>'Operating Expenses 2020'!I32</f>
        <v>20000</v>
      </c>
      <c r="J8" s="137">
        <f>'Operating Expenses 2020'!J32</f>
        <v>26000</v>
      </c>
      <c r="K8" s="137">
        <f>'Operating Expenses 2020'!K32</f>
        <v>33800</v>
      </c>
      <c r="L8" s="137">
        <f>'Operating Expenses 2020'!L32</f>
        <v>43940</v>
      </c>
      <c r="M8" s="137">
        <f>'Operating Expenses 2020'!M32</f>
        <v>57122</v>
      </c>
      <c r="N8" s="137">
        <f>'Operating Expenses 2020'!N32</f>
        <v>74258.600000000006</v>
      </c>
      <c r="O8" s="140">
        <f t="shared" si="0"/>
        <v>255120.6</v>
      </c>
    </row>
    <row r="9" spans="1:15" x14ac:dyDescent="0.25">
      <c r="A9" s="246" t="s">
        <v>75</v>
      </c>
      <c r="B9" s="244"/>
      <c r="C9" s="137">
        <f>'Operating Expenses 2020'!C33</f>
        <v>200</v>
      </c>
      <c r="D9" s="137">
        <f>'Operating Expenses 2020'!D33</f>
        <v>200</v>
      </c>
      <c r="E9" s="137">
        <f>'Operating Expenses 2020'!E33</f>
        <v>200</v>
      </c>
      <c r="F9" s="137">
        <f>'Operating Expenses 2020'!F33</f>
        <v>625</v>
      </c>
      <c r="G9" s="137">
        <f>'Operating Expenses 2020'!G33</f>
        <v>625</v>
      </c>
      <c r="H9" s="137">
        <f>'Operating Expenses 2020'!H33</f>
        <v>625</v>
      </c>
      <c r="I9" s="137">
        <f>'Operating Expenses 2020'!I33</f>
        <v>625</v>
      </c>
      <c r="J9" s="137">
        <f>'Operating Expenses 2020'!J33</f>
        <v>625</v>
      </c>
      <c r="K9" s="137">
        <f>'Operating Expenses 2020'!K33</f>
        <v>625</v>
      </c>
      <c r="L9" s="137">
        <f>'Operating Expenses 2020'!L33</f>
        <v>625</v>
      </c>
      <c r="M9" s="137">
        <f>'Operating Expenses 2020'!M33</f>
        <v>625</v>
      </c>
      <c r="N9" s="137">
        <f>'Operating Expenses 2020'!N33</f>
        <v>625</v>
      </c>
      <c r="O9" s="140">
        <f t="shared" si="0"/>
        <v>6225</v>
      </c>
    </row>
    <row r="10" spans="1:15" x14ac:dyDescent="0.25">
      <c r="A10" s="246" t="s">
        <v>61</v>
      </c>
      <c r="B10" s="244"/>
      <c r="C10" s="137">
        <f>'Operating Expenses 2020'!C34</f>
        <v>1000</v>
      </c>
      <c r="D10" s="137">
        <f>'Operating Expenses 2020'!D34</f>
        <v>1000</v>
      </c>
      <c r="E10" s="137">
        <f>'Operating Expenses 2020'!E34</f>
        <v>1000</v>
      </c>
      <c r="F10" s="137">
        <f>'Operating Expenses 2020'!F34</f>
        <v>1030</v>
      </c>
      <c r="G10" s="137">
        <f>'Operating Expenses 2020'!G34</f>
        <v>1060.9000000000001</v>
      </c>
      <c r="H10" s="137">
        <f>'Operating Expenses 2020'!H34</f>
        <v>1092.7270000000001</v>
      </c>
      <c r="I10" s="137">
        <f>'Operating Expenses 2020'!I34</f>
        <v>1125.50881</v>
      </c>
      <c r="J10" s="137">
        <f>'Operating Expenses 2020'!J34</f>
        <v>1159.2740743000002</v>
      </c>
      <c r="K10" s="137">
        <f>'Operating Expenses 2020'!K34</f>
        <v>1194.0522965290002</v>
      </c>
      <c r="L10" s="137">
        <f>'Operating Expenses 2020'!L34</f>
        <v>1229.8738654248702</v>
      </c>
      <c r="M10" s="137">
        <f>'Operating Expenses 2020'!M34</f>
        <v>1266.7700813876163</v>
      </c>
      <c r="N10" s="137">
        <f>'Operating Expenses 2020'!N34</f>
        <v>1304.7731838292448</v>
      </c>
      <c r="O10" s="140">
        <f t="shared" si="0"/>
        <v>13463.87931147073</v>
      </c>
    </row>
    <row r="11" spans="1:15" x14ac:dyDescent="0.25">
      <c r="A11" s="246" t="s">
        <v>59</v>
      </c>
      <c r="B11" s="244"/>
      <c r="C11" s="137">
        <f>'Operating Expenses 2020'!C35</f>
        <v>500</v>
      </c>
      <c r="D11" s="137">
        <f>'Operating Expenses 2020'!D35</f>
        <v>500</v>
      </c>
      <c r="E11" s="137">
        <f>'Operating Expenses 2020'!E35</f>
        <v>500</v>
      </c>
      <c r="F11" s="137">
        <f>'Operating Expenses 2020'!F35</f>
        <v>510</v>
      </c>
      <c r="G11" s="137">
        <f>'Operating Expenses 2020'!G35</f>
        <v>520.20000000000005</v>
      </c>
      <c r="H11" s="137">
        <f>'Operating Expenses 2020'!H35</f>
        <v>530.60400000000004</v>
      </c>
      <c r="I11" s="137">
        <f>'Operating Expenses 2020'!I35</f>
        <v>541.21608000000003</v>
      </c>
      <c r="J11" s="137">
        <f>'Operating Expenses 2020'!J35</f>
        <v>552.0404016</v>
      </c>
      <c r="K11" s="137">
        <f>'Operating Expenses 2020'!K35</f>
        <v>563.08120963199997</v>
      </c>
      <c r="L11" s="137">
        <f>'Operating Expenses 2020'!L35</f>
        <v>574.34283382464002</v>
      </c>
      <c r="M11" s="137">
        <f>'Operating Expenses 2020'!M35</f>
        <v>585.82969050113286</v>
      </c>
      <c r="N11" s="137">
        <f>'Operating Expenses 2020'!N35</f>
        <v>597.54628431115555</v>
      </c>
      <c r="O11" s="140">
        <f t="shared" si="0"/>
        <v>6474.8604998689289</v>
      </c>
    </row>
    <row r="12" spans="1:15" x14ac:dyDescent="0.25">
      <c r="A12" s="246" t="s">
        <v>76</v>
      </c>
      <c r="B12" s="244"/>
      <c r="C12" s="137">
        <f>'Operating Expenses 2020'!C36</f>
        <v>0</v>
      </c>
      <c r="D12" s="137">
        <f>'Operating Expenses 2020'!D36</f>
        <v>0</v>
      </c>
      <c r="E12" s="137">
        <f>'Operating Expenses 2020'!E36</f>
        <v>0</v>
      </c>
      <c r="F12" s="137">
        <f>'Operating Expenses 2020'!F36</f>
        <v>0</v>
      </c>
      <c r="G12" s="137">
        <f>'Operating Expenses 2020'!G36</f>
        <v>0</v>
      </c>
      <c r="H12" s="137">
        <f>'Operating Expenses 2020'!H36</f>
        <v>0</v>
      </c>
      <c r="I12" s="137">
        <f>'Operating Expenses 2020'!I36</f>
        <v>50000</v>
      </c>
      <c r="J12" s="137">
        <f>'Operating Expenses 2020'!J36</f>
        <v>51500</v>
      </c>
      <c r="K12" s="137">
        <f>'Operating Expenses 2020'!K36</f>
        <v>53045</v>
      </c>
      <c r="L12" s="137">
        <f>'Operating Expenses 2020'!L36</f>
        <v>54636.35</v>
      </c>
      <c r="M12" s="137">
        <f>'Operating Expenses 2020'!M36</f>
        <v>56275.440499999997</v>
      </c>
      <c r="N12" s="137">
        <f>'Operating Expenses 2020'!N36</f>
        <v>57963.703714999996</v>
      </c>
      <c r="O12" s="140">
        <f t="shared" si="0"/>
        <v>323420.49421500001</v>
      </c>
    </row>
    <row r="13" spans="1:15" x14ac:dyDescent="0.25">
      <c r="A13" s="246" t="s">
        <v>60</v>
      </c>
      <c r="B13" s="244"/>
      <c r="C13" s="137">
        <f>'Operating Expenses 2020'!C37</f>
        <v>150</v>
      </c>
      <c r="D13" s="137">
        <f>'Operating Expenses 2020'!D37</f>
        <v>153</v>
      </c>
      <c r="E13" s="137">
        <f>'Operating Expenses 2020'!E37</f>
        <v>156.06</v>
      </c>
      <c r="F13" s="137">
        <f>'Operating Expenses 2020'!F37</f>
        <v>159.18120000000002</v>
      </c>
      <c r="G13" s="137">
        <f>'Operating Expenses 2020'!G37</f>
        <v>162.36482400000003</v>
      </c>
      <c r="H13" s="137">
        <f>'Operating Expenses 2020'!H37</f>
        <v>165.61212048000004</v>
      </c>
      <c r="I13" s="137">
        <f>'Operating Expenses 2020'!I37</f>
        <v>168.92436288960005</v>
      </c>
      <c r="J13" s="137">
        <f>'Operating Expenses 2020'!J37</f>
        <v>172.30285014739206</v>
      </c>
      <c r="K13" s="137">
        <f>'Operating Expenses 2020'!K37</f>
        <v>175.7489071503399</v>
      </c>
      <c r="L13" s="137">
        <f>'Operating Expenses 2020'!L37</f>
        <v>179.2638852933467</v>
      </c>
      <c r="M13" s="137">
        <f>'Operating Expenses 2020'!M37</f>
        <v>182.84916299921363</v>
      </c>
      <c r="N13" s="137">
        <f>'Operating Expenses 2020'!N37</f>
        <v>186.50614625919792</v>
      </c>
      <c r="O13" s="140">
        <f t="shared" si="0"/>
        <v>2011.8134592190902</v>
      </c>
    </row>
    <row r="14" spans="1:15" x14ac:dyDescent="0.25">
      <c r="A14" s="246" t="s">
        <v>62</v>
      </c>
      <c r="B14" s="244"/>
      <c r="C14" s="137">
        <f>'Operating Expenses 2020'!C38</f>
        <v>10600</v>
      </c>
      <c r="D14" s="137">
        <f>'Operating Expenses 2020'!D38</f>
        <v>10812</v>
      </c>
      <c r="E14" s="137">
        <f>'Operating Expenses 2020'!E38</f>
        <v>0</v>
      </c>
      <c r="F14" s="137">
        <f>'Operating Expenses 2020'!F38</f>
        <v>0</v>
      </c>
      <c r="G14" s="137">
        <f>'Operating Expenses 2020'!G38</f>
        <v>0</v>
      </c>
      <c r="H14" s="137">
        <f>'Operating Expenses 2020'!H38</f>
        <v>30000</v>
      </c>
      <c r="I14" s="137">
        <f>'Operating Expenses 2020'!I38</f>
        <v>10000</v>
      </c>
      <c r="J14" s="137">
        <f>'Operating Expenses 2020'!J38</f>
        <v>10200</v>
      </c>
      <c r="K14" s="137">
        <f>'Operating Expenses 2020'!K38</f>
        <v>10404</v>
      </c>
      <c r="L14" s="137">
        <f>'Operating Expenses 2020'!L38</f>
        <v>10612.08</v>
      </c>
      <c r="M14" s="137">
        <f>'Operating Expenses 2020'!M38</f>
        <v>10824.321599999999</v>
      </c>
      <c r="N14" s="137">
        <f>'Operating Expenses 2020'!N38</f>
        <v>11040.808031999999</v>
      </c>
      <c r="O14" s="140">
        <f t="shared" si="0"/>
        <v>114493.209632</v>
      </c>
    </row>
    <row r="15" spans="1:15" x14ac:dyDescent="0.25">
      <c r="A15" s="246" t="s">
        <v>77</v>
      </c>
      <c r="B15" s="244"/>
      <c r="C15" s="137">
        <f>'Operating Expenses 2020'!C39</f>
        <v>6800</v>
      </c>
      <c r="D15" s="137">
        <f>'Operating Expenses 2020'!D39</f>
        <v>6800</v>
      </c>
      <c r="E15" s="137">
        <f>'Operating Expenses 2020'!E39</f>
        <v>31800</v>
      </c>
      <c r="F15" s="137">
        <f>'Operating Expenses 2020'!F39</f>
        <v>0</v>
      </c>
      <c r="G15" s="137">
        <f>'Operating Expenses 2020'!G39</f>
        <v>0</v>
      </c>
      <c r="H15" s="137">
        <f>'Operating Expenses 2020'!H39</f>
        <v>23909.638999999999</v>
      </c>
      <c r="I15" s="137">
        <f>'Operating Expenses 2020'!I39</f>
        <v>24148.735389999998</v>
      </c>
      <c r="J15" s="137">
        <f>'Operating Expenses 2020'!J39</f>
        <v>24390.222743899998</v>
      </c>
      <c r="K15" s="137">
        <f>'Operating Expenses 2020'!K39</f>
        <v>24634.124971338999</v>
      </c>
      <c r="L15" s="137">
        <f>'Operating Expenses 2020'!L39</f>
        <v>24880.466221052389</v>
      </c>
      <c r="M15" s="137">
        <f>'Operating Expenses 2020'!M39</f>
        <v>25129.270883262914</v>
      </c>
      <c r="N15" s="137">
        <f>'Operating Expenses 2020'!N39</f>
        <v>25380.563592095543</v>
      </c>
      <c r="O15" s="140">
        <f t="shared" si="0"/>
        <v>217873.02280164984</v>
      </c>
    </row>
    <row r="16" spans="1:15" x14ac:dyDescent="0.25">
      <c r="A16" s="246" t="s">
        <v>66</v>
      </c>
      <c r="B16" s="244"/>
      <c r="C16" s="137">
        <f>'Operating Expenses 2020'!C40</f>
        <v>1800</v>
      </c>
      <c r="D16" s="137">
        <f>'Operating Expenses 2020'!D40</f>
        <v>1836</v>
      </c>
      <c r="E16" s="137">
        <f>'Operating Expenses 2020'!E40</f>
        <v>1872.72</v>
      </c>
      <c r="F16" s="137">
        <f>'Operating Expenses 2020'!F40</f>
        <v>1910.1744000000001</v>
      </c>
      <c r="G16" s="137">
        <f>'Operating Expenses 2020'!G40</f>
        <v>1948.3778880000002</v>
      </c>
      <c r="H16" s="137">
        <f>'Operating Expenses 2020'!H40</f>
        <v>1987.3454457600003</v>
      </c>
      <c r="I16" s="137">
        <f>'Operating Expenses 2020'!I40</f>
        <v>2027.0923546752003</v>
      </c>
      <c r="J16" s="137">
        <f>'Operating Expenses 2020'!J40</f>
        <v>2067.6342017687043</v>
      </c>
      <c r="K16" s="137">
        <f>'Operating Expenses 2020'!K40</f>
        <v>2108.9868858040786</v>
      </c>
      <c r="L16" s="137">
        <f>'Operating Expenses 2020'!L40</f>
        <v>2151.1666235201601</v>
      </c>
      <c r="M16" s="137">
        <f>'Operating Expenses 2020'!M40</f>
        <v>2194.1899559905632</v>
      </c>
      <c r="N16" s="137">
        <f>'Operating Expenses 2020'!N40</f>
        <v>2238.0737551103743</v>
      </c>
      <c r="O16" s="140">
        <f t="shared" si="0"/>
        <v>24141.761510629076</v>
      </c>
    </row>
    <row r="17" spans="1:15" x14ac:dyDescent="0.25">
      <c r="A17" s="246" t="s">
        <v>63</v>
      </c>
      <c r="B17" s="244"/>
      <c r="C17" s="137">
        <f>'Operating Expenses 2020'!C41</f>
        <v>500</v>
      </c>
      <c r="D17" s="137">
        <f>'Operating Expenses 2020'!D41</f>
        <v>500</v>
      </c>
      <c r="E17" s="137">
        <f>'Operating Expenses 2020'!E41</f>
        <v>500</v>
      </c>
      <c r="F17" s="137">
        <f>'Operating Expenses 2020'!F41</f>
        <v>5000</v>
      </c>
      <c r="G17" s="137">
        <f>'Operating Expenses 2020'!G41</f>
        <v>5050</v>
      </c>
      <c r="H17" s="137">
        <f>'Operating Expenses 2020'!H41</f>
        <v>5100.5</v>
      </c>
      <c r="I17" s="137">
        <f>'Operating Expenses 2020'!I41</f>
        <v>5151.5050000000001</v>
      </c>
      <c r="J17" s="137">
        <f>'Operating Expenses 2020'!J41</f>
        <v>5203.0200500000001</v>
      </c>
      <c r="K17" s="137">
        <f>'Operating Expenses 2020'!K41</f>
        <v>5255.0502505000004</v>
      </c>
      <c r="L17" s="137">
        <f>'Operating Expenses 2020'!L41</f>
        <v>5307.6007530050001</v>
      </c>
      <c r="M17" s="137">
        <f>'Operating Expenses 2020'!M41</f>
        <v>5360.6767605350506</v>
      </c>
      <c r="N17" s="137">
        <f>'Operating Expenses 2020'!N41</f>
        <v>5414.2835281404014</v>
      </c>
      <c r="O17" s="140">
        <f t="shared" si="0"/>
        <v>48342.636342180449</v>
      </c>
    </row>
    <row r="18" spans="1:15" x14ac:dyDescent="0.25">
      <c r="A18" s="246" t="s">
        <v>65</v>
      </c>
      <c r="B18" s="244"/>
      <c r="C18" s="137">
        <f>'Operating Expenses 2020'!C42</f>
        <v>0</v>
      </c>
      <c r="D18" s="137">
        <f>'Operating Expenses 2020'!D42</f>
        <v>0</v>
      </c>
      <c r="E18" s="137">
        <f>'Operating Expenses 2020'!E42</f>
        <v>0</v>
      </c>
      <c r="F18" s="137">
        <f>'Operating Expenses 2020'!F42</f>
        <v>1500</v>
      </c>
      <c r="G18" s="137">
        <f>'Operating Expenses 2020'!G42</f>
        <v>1515</v>
      </c>
      <c r="H18" s="137">
        <f>'Operating Expenses 2020'!H42</f>
        <v>1530.15</v>
      </c>
      <c r="I18" s="137">
        <f>'Operating Expenses 2020'!I42</f>
        <v>1545.4515000000001</v>
      </c>
      <c r="J18" s="137">
        <f>'Operating Expenses 2020'!J42</f>
        <v>1560.9060150000003</v>
      </c>
      <c r="K18" s="137">
        <f>'Operating Expenses 2020'!K42</f>
        <v>1576.5150751500003</v>
      </c>
      <c r="L18" s="137">
        <f>'Operating Expenses 2020'!L42</f>
        <v>1592.2802259015002</v>
      </c>
      <c r="M18" s="137">
        <f>'Operating Expenses 2020'!M42</f>
        <v>1608.2030281605153</v>
      </c>
      <c r="N18" s="137">
        <f>'Operating Expenses 2020'!N42</f>
        <v>1624.2850584421203</v>
      </c>
      <c r="O18" s="140">
        <f t="shared" si="0"/>
        <v>14052.790902654135</v>
      </c>
    </row>
    <row r="19" spans="1:15" x14ac:dyDescent="0.25">
      <c r="A19" s="247" t="s">
        <v>64</v>
      </c>
      <c r="B19" s="248"/>
      <c r="C19" s="141">
        <f>'Payroll 2020'!B31</f>
        <v>49128</v>
      </c>
      <c r="D19" s="141">
        <f>'Payroll 2020'!C31</f>
        <v>42720</v>
      </c>
      <c r="E19" s="141">
        <f>'Payroll 2020'!D31</f>
        <v>46992</v>
      </c>
      <c r="F19" s="141">
        <f>'Payroll 2020'!E31</f>
        <v>46992</v>
      </c>
      <c r="G19" s="141">
        <f>'Payroll 2020'!F31</f>
        <v>44856</v>
      </c>
      <c r="H19" s="141">
        <f>'Payroll 2020'!G31</f>
        <v>46992</v>
      </c>
      <c r="I19" s="141">
        <f>'Payroll 2020'!H31</f>
        <v>49128</v>
      </c>
      <c r="J19" s="141">
        <f>'Payroll 2020'!I31</f>
        <v>65100</v>
      </c>
      <c r="K19" s="141">
        <f>'Payroll 2020'!J31</f>
        <v>98368</v>
      </c>
      <c r="L19" s="141">
        <f>'Payroll 2020'!K31</f>
        <v>127776</v>
      </c>
      <c r="M19" s="141">
        <f>'Payroll 2020'!L31</f>
        <v>139360</v>
      </c>
      <c r="N19" s="141">
        <f>'Payroll 2020'!M31</f>
        <v>151616</v>
      </c>
      <c r="O19" s="142">
        <f t="shared" si="0"/>
        <v>909028</v>
      </c>
    </row>
    <row r="20" spans="1:15" x14ac:dyDescent="0.25">
      <c r="A20" s="249" t="s">
        <v>78</v>
      </c>
      <c r="B20" s="245"/>
      <c r="C20" s="138">
        <f>'Operating Expenses 2020'!C43</f>
        <v>1077.5</v>
      </c>
      <c r="D20" s="138">
        <f>'Operating Expenses 2020'!D43</f>
        <v>1090.05</v>
      </c>
      <c r="E20" s="138">
        <f>'Operating Expenses 2020'!E43</f>
        <v>1801.4390000000001</v>
      </c>
      <c r="F20" s="138">
        <f>'Operating Expenses 2020'!F43</f>
        <v>536.71777999999995</v>
      </c>
      <c r="G20" s="138">
        <f>'Operating Expenses 2020'!G43</f>
        <v>544.09213560000012</v>
      </c>
      <c r="H20" s="138">
        <f>'Operating Expenses 2020'!H43</f>
        <v>3247.0788783120006</v>
      </c>
      <c r="I20" s="138">
        <f>'Operating Expenses 2020'!I43</f>
        <v>5766.6716748782401</v>
      </c>
      <c r="J20" s="138">
        <f>'Operating Expenses 2020'!J43</f>
        <v>6171.5200168358051</v>
      </c>
      <c r="K20" s="138">
        <f>'Operating Expenses 2020'!K43</f>
        <v>6669.0779798052208</v>
      </c>
      <c r="L20" s="138">
        <f>'Operating Expenses 2020'!L43</f>
        <v>7286.4212204010955</v>
      </c>
      <c r="M20" s="138">
        <f>'Operating Expenses 2020'!M43</f>
        <v>8058.727583141851</v>
      </c>
      <c r="N20" s="138">
        <f>'Operating Expenses 2020'!N43</f>
        <v>9031.7071647594039</v>
      </c>
      <c r="O20" s="143">
        <f t="shared" si="0"/>
        <v>51281.003433733618</v>
      </c>
    </row>
    <row r="21" spans="1:15" x14ac:dyDescent="0.25">
      <c r="A21" s="250" t="s">
        <v>67</v>
      </c>
      <c r="B21" s="250"/>
      <c r="C21" s="144">
        <f t="shared" ref="C21:N21" si="2">SUM(C8:C19)</f>
        <v>70678</v>
      </c>
      <c r="D21" s="144">
        <f t="shared" si="2"/>
        <v>64521</v>
      </c>
      <c r="E21" s="144">
        <f t="shared" si="2"/>
        <v>83020.78</v>
      </c>
      <c r="F21" s="144">
        <f t="shared" si="2"/>
        <v>57726.355599999995</v>
      </c>
      <c r="G21" s="144">
        <f t="shared" si="2"/>
        <v>55737.842711999998</v>
      </c>
      <c r="H21" s="144">
        <f t="shared" si="2"/>
        <v>111933.57756624001</v>
      </c>
      <c r="I21" s="144">
        <f t="shared" si="2"/>
        <v>164461.43349756481</v>
      </c>
      <c r="J21" s="144">
        <f t="shared" si="2"/>
        <v>188530.40033671609</v>
      </c>
      <c r="K21" s="144">
        <f t="shared" si="2"/>
        <v>231749.5595961044</v>
      </c>
      <c r="L21" s="144">
        <f t="shared" si="2"/>
        <v>273504.42440802191</v>
      </c>
      <c r="M21" s="144">
        <f t="shared" si="2"/>
        <v>300534.55166283704</v>
      </c>
      <c r="N21" s="144">
        <f t="shared" si="2"/>
        <v>332250.14329518809</v>
      </c>
      <c r="O21" s="144">
        <f t="shared" si="0"/>
        <v>1934648.0686746724</v>
      </c>
    </row>
    <row r="22" spans="1:15" x14ac:dyDescent="0.25">
      <c r="A22" s="243" t="s">
        <v>68</v>
      </c>
      <c r="B22" s="243"/>
      <c r="C22" s="139">
        <f t="shared" ref="C22:N22" si="3">C5-C21</f>
        <v>-69187.8</v>
      </c>
      <c r="D22" s="139">
        <f t="shared" si="3"/>
        <v>-61406.400000000001</v>
      </c>
      <c r="E22" s="139">
        <f t="shared" si="3"/>
        <v>-77935.98</v>
      </c>
      <c r="F22" s="139">
        <f t="shared" si="3"/>
        <v>-49081.355599999995</v>
      </c>
      <c r="G22" s="139">
        <f t="shared" si="3"/>
        <v>-43634.642712000001</v>
      </c>
      <c r="H22" s="139">
        <f t="shared" si="3"/>
        <v>-96165.177566240018</v>
      </c>
      <c r="I22" s="139">
        <f t="shared" si="3"/>
        <v>-145027.8334975648</v>
      </c>
      <c r="J22" s="139">
        <f t="shared" si="3"/>
        <v>-162131.20033671608</v>
      </c>
      <c r="K22" s="139">
        <f t="shared" si="3"/>
        <v>-197868.0595961044</v>
      </c>
      <c r="L22" s="139">
        <f t="shared" si="3"/>
        <v>-229700.62440802192</v>
      </c>
      <c r="M22" s="139">
        <f t="shared" si="3"/>
        <v>-243823.55166283704</v>
      </c>
      <c r="N22" s="139">
        <f t="shared" si="3"/>
        <v>-248951.74329518809</v>
      </c>
      <c r="O22" s="139">
        <f t="shared" si="0"/>
        <v>-1624914.3686746722</v>
      </c>
    </row>
    <row r="23" spans="1:15" x14ac:dyDescent="0.25">
      <c r="A23" s="2"/>
      <c r="B23" s="2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</row>
    <row r="24" spans="1:15" x14ac:dyDescent="0.25">
      <c r="A24" s="244" t="s">
        <v>114</v>
      </c>
      <c r="B24" s="244"/>
      <c r="C24" s="140">
        <f>'Payroll 2020'!B32</f>
        <v>0</v>
      </c>
      <c r="D24" s="140">
        <f>'Payroll 2020'!C32</f>
        <v>0</v>
      </c>
      <c r="E24" s="140">
        <f>'Payroll 2020'!D32</f>
        <v>0</v>
      </c>
      <c r="F24" s="140">
        <f>'Payroll 2020'!E32</f>
        <v>0</v>
      </c>
      <c r="G24" s="140">
        <f>'Payroll 2020'!F32</f>
        <v>0</v>
      </c>
      <c r="H24" s="140">
        <f>'Payroll 2020'!G32</f>
        <v>0</v>
      </c>
      <c r="I24" s="140">
        <f>'Payroll 2020'!H32</f>
        <v>0</v>
      </c>
      <c r="J24" s="140">
        <f>'Payroll 2020'!I32</f>
        <v>0</v>
      </c>
      <c r="K24" s="140">
        <f>'Payroll 2020'!J32</f>
        <v>0</v>
      </c>
      <c r="L24" s="140">
        <f>'Payroll 2020'!K32</f>
        <v>0</v>
      </c>
      <c r="M24" s="140">
        <f>'Payroll 2020'!L32</f>
        <v>0</v>
      </c>
      <c r="N24" s="140">
        <f>'Payroll 2020'!M32</f>
        <v>0</v>
      </c>
      <c r="O24" s="140">
        <f>SUM(C24:N24)</f>
        <v>0</v>
      </c>
    </row>
    <row r="25" spans="1:15" x14ac:dyDescent="0.25">
      <c r="A25" s="245" t="s">
        <v>69</v>
      </c>
      <c r="B25" s="245"/>
      <c r="C25" s="138">
        <f>'Operating Expenses 2020'!C46</f>
        <v>452.55</v>
      </c>
      <c r="D25" s="138">
        <f>'Operating Expenses 2020'!D46</f>
        <v>457.82099999999997</v>
      </c>
      <c r="E25" s="138">
        <f>'Operating Expenses 2020'!E46</f>
        <v>756.60437999999999</v>
      </c>
      <c r="F25" s="138">
        <f>'Operating Expenses 2020'!F46</f>
        <v>225.42146759999997</v>
      </c>
      <c r="G25" s="138">
        <f>'Operating Expenses 2020'!G46</f>
        <v>228.51869695200003</v>
      </c>
      <c r="H25" s="138">
        <f>'Operating Expenses 2020'!H46</f>
        <v>1363.7731288910402</v>
      </c>
      <c r="I25" s="138">
        <f>'Operating Expenses 2020'!I46</f>
        <v>2422.0021034488605</v>
      </c>
      <c r="J25" s="138">
        <f>'Operating Expenses 2020'!J46</f>
        <v>2592.0384070710379</v>
      </c>
      <c r="K25" s="138">
        <f>'Operating Expenses 2020'!K46</f>
        <v>2801.0127515181921</v>
      </c>
      <c r="L25" s="138">
        <f>'Operating Expenses 2020'!L46</f>
        <v>3060.2969125684604</v>
      </c>
      <c r="M25" s="138">
        <f>'Operating Expenses 2020'!M46</f>
        <v>3384.6655849195772</v>
      </c>
      <c r="N25" s="138">
        <f>'Operating Expenses 2020'!N46</f>
        <v>3793.3170091989491</v>
      </c>
      <c r="O25" s="143">
        <f t="shared" si="0"/>
        <v>21538.021442168119</v>
      </c>
    </row>
    <row r="26" spans="1:15" x14ac:dyDescent="0.25">
      <c r="A26" s="243" t="s">
        <v>70</v>
      </c>
      <c r="B26" s="243"/>
      <c r="C26" s="139">
        <f>C22-C25</f>
        <v>-69640.350000000006</v>
      </c>
      <c r="D26" s="139">
        <f t="shared" ref="D26:N26" si="4">D22-D25</f>
        <v>-61864.221000000005</v>
      </c>
      <c r="E26" s="139">
        <f t="shared" si="4"/>
        <v>-78692.58438</v>
      </c>
      <c r="F26" s="139">
        <f t="shared" si="4"/>
        <v>-49306.777067599993</v>
      </c>
      <c r="G26" s="139">
        <f t="shared" si="4"/>
        <v>-43863.161408952001</v>
      </c>
      <c r="H26" s="139">
        <f t="shared" si="4"/>
        <v>-97528.950695131061</v>
      </c>
      <c r="I26" s="139">
        <f t="shared" si="4"/>
        <v>-147449.83560101368</v>
      </c>
      <c r="J26" s="139">
        <f t="shared" si="4"/>
        <v>-164723.23874378711</v>
      </c>
      <c r="K26" s="139">
        <f t="shared" si="4"/>
        <v>-200669.0723476226</v>
      </c>
      <c r="L26" s="139">
        <f t="shared" si="4"/>
        <v>-232760.92132059037</v>
      </c>
      <c r="M26" s="139">
        <f t="shared" si="4"/>
        <v>-247208.21724775661</v>
      </c>
      <c r="N26" s="139">
        <f t="shared" si="4"/>
        <v>-252745.06030438704</v>
      </c>
      <c r="O26" s="139">
        <f t="shared" si="0"/>
        <v>-1646452.3901168406</v>
      </c>
    </row>
    <row r="27" spans="1:15" x14ac:dyDescent="0.25"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</row>
    <row r="28" spans="1:15" x14ac:dyDescent="0.25">
      <c r="A28" s="245" t="s">
        <v>71</v>
      </c>
      <c r="B28" s="251">
        <v>0.3</v>
      </c>
      <c r="C28" s="143">
        <f>IF(C26&gt;0,C26*$B$28,0)</f>
        <v>0</v>
      </c>
      <c r="D28" s="143">
        <f t="shared" ref="D28:M28" si="5">IF(D26&gt;0,D26*$B$28,0)</f>
        <v>0</v>
      </c>
      <c r="E28" s="143">
        <f t="shared" si="5"/>
        <v>0</v>
      </c>
      <c r="F28" s="143">
        <f t="shared" si="5"/>
        <v>0</v>
      </c>
      <c r="G28" s="143">
        <f t="shared" si="5"/>
        <v>0</v>
      </c>
      <c r="H28" s="143">
        <f t="shared" si="5"/>
        <v>0</v>
      </c>
      <c r="I28" s="143">
        <f t="shared" si="5"/>
        <v>0</v>
      </c>
      <c r="J28" s="143">
        <f t="shared" si="5"/>
        <v>0</v>
      </c>
      <c r="K28" s="143">
        <f t="shared" si="5"/>
        <v>0</v>
      </c>
      <c r="L28" s="143">
        <f t="shared" si="5"/>
        <v>0</v>
      </c>
      <c r="M28" s="143">
        <f t="shared" si="5"/>
        <v>0</v>
      </c>
      <c r="N28" s="143">
        <f>IF(N26&gt;0,N26*$B$28,0)</f>
        <v>0</v>
      </c>
      <c r="O28" s="143">
        <f t="shared" si="0"/>
        <v>0</v>
      </c>
    </row>
    <row r="29" spans="1:15" ht="17" thickBot="1" x14ac:dyDescent="0.3">
      <c r="A29" s="252" t="s">
        <v>72</v>
      </c>
      <c r="B29" s="252"/>
      <c r="C29" s="145">
        <f>C26-C28</f>
        <v>-69640.350000000006</v>
      </c>
      <c r="D29" s="145">
        <f t="shared" ref="D29:N29" si="6">D26-D28</f>
        <v>-61864.221000000005</v>
      </c>
      <c r="E29" s="145">
        <f t="shared" si="6"/>
        <v>-78692.58438</v>
      </c>
      <c r="F29" s="145">
        <f t="shared" si="6"/>
        <v>-49306.777067599993</v>
      </c>
      <c r="G29" s="145">
        <f t="shared" si="6"/>
        <v>-43863.161408952001</v>
      </c>
      <c r="H29" s="145">
        <f t="shared" si="6"/>
        <v>-97528.950695131061</v>
      </c>
      <c r="I29" s="145">
        <f t="shared" si="6"/>
        <v>-147449.83560101368</v>
      </c>
      <c r="J29" s="145">
        <f t="shared" si="6"/>
        <v>-164723.23874378711</v>
      </c>
      <c r="K29" s="145">
        <f t="shared" si="6"/>
        <v>-200669.0723476226</v>
      </c>
      <c r="L29" s="145">
        <f t="shared" si="6"/>
        <v>-232760.92132059037</v>
      </c>
      <c r="M29" s="145">
        <f t="shared" si="6"/>
        <v>-247208.21724775661</v>
      </c>
      <c r="N29" s="145">
        <f t="shared" si="6"/>
        <v>-252745.06030438704</v>
      </c>
      <c r="O29" s="145">
        <f t="shared" si="0"/>
        <v>-1646452.3901168406</v>
      </c>
    </row>
    <row r="30" spans="1:15" ht="17" thickTop="1" x14ac:dyDescent="0.25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/>
  </sheetPr>
  <dimension ref="A1:N34"/>
  <sheetViews>
    <sheetView showGridLines="0" zoomScale="132" zoomScaleNormal="90" workbookViewId="0">
      <pane ySplit="2" topLeftCell="A3" activePane="bottomLeft" state="frozen"/>
      <selection pane="bottomLeft" activeCell="E23" sqref="C23:E23"/>
    </sheetView>
  </sheetViews>
  <sheetFormatPr baseColWidth="10" defaultColWidth="9.1640625" defaultRowHeight="16" outlineLevelRow="1" x14ac:dyDescent="0.25"/>
  <cols>
    <col min="1" max="1" width="29.5" style="1" customWidth="1"/>
    <col min="2" max="2" width="9.1640625" style="1"/>
    <col min="3" max="7" width="12.6640625" style="1" customWidth="1"/>
    <col min="8" max="10" width="9.1640625" style="1"/>
    <col min="11" max="11" width="10.1640625" style="1" customWidth="1"/>
    <col min="12" max="16384" width="9.1640625" style="1"/>
  </cols>
  <sheetData>
    <row r="1" spans="1:14" s="4" customFormat="1" x14ac:dyDescent="0.25">
      <c r="A1" s="52" t="str">
        <f>"Income Statement - "&amp;C2&amp;"-"&amp;G2</f>
        <v>Income Statement - 2020-2024</v>
      </c>
      <c r="C1" s="49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4" s="4" customFormat="1" x14ac:dyDescent="0.25">
      <c r="A2" s="51"/>
      <c r="B2" s="3"/>
      <c r="C2" s="48">
        <v>2020</v>
      </c>
      <c r="D2" s="48">
        <f>C2+1</f>
        <v>2021</v>
      </c>
      <c r="E2" s="48">
        <f t="shared" ref="E2:G2" si="0">D2+1</f>
        <v>2022</v>
      </c>
      <c r="F2" s="48">
        <f t="shared" si="0"/>
        <v>2023</v>
      </c>
      <c r="G2" s="48">
        <f t="shared" si="0"/>
        <v>2024</v>
      </c>
      <c r="H2" s="48"/>
      <c r="I2" s="48"/>
      <c r="J2" s="48"/>
      <c r="K2" s="48"/>
      <c r="L2" s="48"/>
      <c r="M2" s="48"/>
      <c r="N2" s="48"/>
    </row>
    <row r="3" spans="1:14" x14ac:dyDescent="0.25">
      <c r="A3" s="9" t="s">
        <v>73</v>
      </c>
      <c r="B3" s="54"/>
      <c r="C3" s="9"/>
      <c r="D3" s="9"/>
      <c r="E3" s="9"/>
      <c r="F3" s="9"/>
      <c r="G3" s="9"/>
    </row>
    <row r="4" spans="1:14" outlineLevel="1" x14ac:dyDescent="0.25">
      <c r="A4" s="243" t="s">
        <v>54</v>
      </c>
      <c r="B4" s="244"/>
      <c r="C4" s="137">
        <f>TURNOVER!B12</f>
        <v>354817.7</v>
      </c>
      <c r="D4" s="137">
        <f>TURNOVER!C12</f>
        <v>2353982.0010093129</v>
      </c>
      <c r="E4" s="137">
        <f>TURNOVER!D12</f>
        <v>16377589.809043987</v>
      </c>
      <c r="F4" s="137">
        <f>TURNOVER!E12</f>
        <v>51072795.012782119</v>
      </c>
      <c r="G4" s="137">
        <f>TURNOVER!F12</f>
        <v>173088955.77078265</v>
      </c>
    </row>
    <row r="5" spans="1:14" outlineLevel="1" x14ac:dyDescent="0.25">
      <c r="A5" s="245" t="s">
        <v>55</v>
      </c>
      <c r="B5" s="245"/>
      <c r="C5" s="138">
        <f>TURNOVER!B98</f>
        <v>45083.999999999993</v>
      </c>
      <c r="D5" s="138">
        <f>TURNOVER!C98</f>
        <v>802203.99021385994</v>
      </c>
      <c r="E5" s="138">
        <f>TURNOVER!D98</f>
        <v>3710140.9048795518</v>
      </c>
      <c r="F5" s="138">
        <f>TURNOVER!E98</f>
        <v>10997842.173528526</v>
      </c>
      <c r="G5" s="138">
        <f>TURNOVER!F98</f>
        <v>36845379.873115003</v>
      </c>
    </row>
    <row r="6" spans="1:14" outlineLevel="1" x14ac:dyDescent="0.25">
      <c r="A6" s="243" t="s">
        <v>56</v>
      </c>
      <c r="B6" s="243"/>
      <c r="C6" s="239">
        <f>C4-C5</f>
        <v>309733.7</v>
      </c>
      <c r="D6" s="239">
        <f t="shared" ref="D6:G6" si="1">D4-D5</f>
        <v>1551778.0107954531</v>
      </c>
      <c r="E6" s="239">
        <f t="shared" si="1"/>
        <v>12667448.904164435</v>
      </c>
      <c r="F6" s="239">
        <f t="shared" si="1"/>
        <v>40074952.83925359</v>
      </c>
      <c r="G6" s="239">
        <f t="shared" si="1"/>
        <v>136243575.89766765</v>
      </c>
    </row>
    <row r="7" spans="1:14" outlineLevel="1" x14ac:dyDescent="0.25">
      <c r="A7" s="2"/>
      <c r="B7" s="2"/>
      <c r="C7" s="239"/>
      <c r="D7" s="239"/>
      <c r="E7" s="239"/>
      <c r="F7" s="239"/>
      <c r="G7" s="239"/>
    </row>
    <row r="8" spans="1:14" outlineLevel="1" x14ac:dyDescent="0.25">
      <c r="A8" s="243" t="s">
        <v>57</v>
      </c>
      <c r="B8" s="244"/>
      <c r="C8" s="137"/>
      <c r="D8" s="137"/>
      <c r="E8" s="137"/>
      <c r="F8" s="137"/>
      <c r="G8" s="137"/>
    </row>
    <row r="9" spans="1:14" outlineLevel="1" x14ac:dyDescent="0.25">
      <c r="A9" s="246" t="s">
        <v>58</v>
      </c>
      <c r="B9" s="244"/>
      <c r="C9" s="137">
        <f>'Operating Expenses 2020-2024'!C19</f>
        <v>255120.6</v>
      </c>
      <c r="D9" s="137">
        <f>'Operating Expenses 2020-2024'!D19</f>
        <v>4847291.4000000004</v>
      </c>
      <c r="E9" s="137">
        <f>'Operating Expenses 2020-2024'!E19</f>
        <v>9694582.8000000007</v>
      </c>
      <c r="F9" s="137">
        <f>'Operating Expenses 2020-2024'!F19</f>
        <v>14541874.200000001</v>
      </c>
      <c r="G9" s="137">
        <f>'Operating Expenses 2020-2024'!G19</f>
        <v>17450249.039999999</v>
      </c>
    </row>
    <row r="10" spans="1:14" outlineLevel="1" x14ac:dyDescent="0.25">
      <c r="A10" s="246" t="s">
        <v>75</v>
      </c>
      <c r="B10" s="244"/>
      <c r="C10" s="137">
        <f>'Operating Expenses 2020-2024'!C20</f>
        <v>6225</v>
      </c>
      <c r="D10" s="137">
        <f>'Operating Expenses 2020-2024'!D20</f>
        <v>201.7995875</v>
      </c>
      <c r="E10" s="137">
        <f>'Operating Expenses 2020-2024'!E20</f>
        <v>382.51517282225626</v>
      </c>
      <c r="F10" s="137">
        <f>'Operating Expenses 2020-2024'!F20</f>
        <v>562.95814868405387</v>
      </c>
      <c r="G10" s="137">
        <f>'Operating Expenses 2020-2024'!G20</f>
        <v>743.12892631676402</v>
      </c>
    </row>
    <row r="11" spans="1:14" outlineLevel="1" x14ac:dyDescent="0.25">
      <c r="A11" s="246" t="s">
        <v>61</v>
      </c>
      <c r="B11" s="244"/>
      <c r="C11" s="137">
        <f>'Operating Expenses 2020-2024'!C21</f>
        <v>13463.87931147073</v>
      </c>
      <c r="D11" s="137">
        <f>'Operating Expenses 2020-2024'!D21</f>
        <v>17503.043104911951</v>
      </c>
      <c r="E11" s="137">
        <f>'Operating Expenses 2020-2024'!E21</f>
        <v>22753.956036385538</v>
      </c>
      <c r="F11" s="137">
        <f>'Operating Expenses 2020-2024'!F21</f>
        <v>29580.142847301202</v>
      </c>
      <c r="G11" s="137">
        <f>'Operating Expenses 2020-2024'!G21</f>
        <v>38454.185701491566</v>
      </c>
    </row>
    <row r="12" spans="1:14" outlineLevel="1" x14ac:dyDescent="0.25">
      <c r="A12" s="246" t="s">
        <v>59</v>
      </c>
      <c r="B12" s="244"/>
      <c r="C12" s="137">
        <f>'Operating Expenses 2020-2024'!C22</f>
        <v>6474.8604998689289</v>
      </c>
      <c r="D12" s="137">
        <f>'Operating Expenses 2020-2024'!D22</f>
        <v>11654.748899764072</v>
      </c>
      <c r="E12" s="137">
        <f>'Operating Expenses 2020-2024'!E22</f>
        <v>15151.173569693294</v>
      </c>
      <c r="F12" s="137">
        <f>'Operating Expenses 2020-2024'!F22</f>
        <v>19696.525640601281</v>
      </c>
      <c r="G12" s="137">
        <f>'Operating Expenses 2020-2024'!G22</f>
        <v>25605.483332781667</v>
      </c>
    </row>
    <row r="13" spans="1:14" outlineLevel="1" x14ac:dyDescent="0.25">
      <c r="A13" s="246" t="s">
        <v>76</v>
      </c>
      <c r="B13" s="244"/>
      <c r="C13" s="137">
        <f>'Operating Expenses 2020-2024'!C23</f>
        <v>323420.49421500001</v>
      </c>
      <c r="D13" s="137">
        <f>'Operating Expenses 2020-2024'!D23</f>
        <v>549814.84016550006</v>
      </c>
      <c r="E13" s="137">
        <f>'Operating Expenses 2020-2024'!E23</f>
        <v>824722.2602482501</v>
      </c>
      <c r="F13" s="137">
        <f>'Operating Expenses 2020-2024'!F23</f>
        <v>989666.71229790011</v>
      </c>
      <c r="G13" s="137">
        <f>'Operating Expenses 2020-2024'!G23</f>
        <v>1187600.05475748</v>
      </c>
    </row>
    <row r="14" spans="1:14" outlineLevel="1" x14ac:dyDescent="0.25">
      <c r="A14" s="246" t="s">
        <v>60</v>
      </c>
      <c r="B14" s="244"/>
      <c r="C14" s="137">
        <f>'Operating Expenses 2020-2024'!C24</f>
        <v>2011.8134592190902</v>
      </c>
      <c r="D14" s="137">
        <f>'Operating Expenses 2020-2024'!D24</f>
        <v>2041.9906611073764</v>
      </c>
      <c r="E14" s="137">
        <f>'Operating Expenses 2020-2024'!E24</f>
        <v>2072.6205210239868</v>
      </c>
      <c r="F14" s="137">
        <f>'Operating Expenses 2020-2024'!F24</f>
        <v>2114.0729314444666</v>
      </c>
      <c r="G14" s="137">
        <f>'Operating Expenses 2020-2024'!G24</f>
        <v>2156.3543900733562</v>
      </c>
    </row>
    <row r="15" spans="1:14" outlineLevel="1" x14ac:dyDescent="0.25">
      <c r="A15" s="246" t="s">
        <v>62</v>
      </c>
      <c r="B15" s="244"/>
      <c r="C15" s="137">
        <f>'Operating Expenses 2020-2024'!C25</f>
        <v>114493.209632</v>
      </c>
      <c r="D15" s="137">
        <f>'Operating Expenses 2020-2024'!D25</f>
        <v>148841.1725216</v>
      </c>
      <c r="E15" s="137">
        <f>'Operating Expenses 2020-2024'!E25</f>
        <v>163725.28977376001</v>
      </c>
      <c r="F15" s="137">
        <f>'Operating Expenses 2020-2024'!F25</f>
        <v>180097.81875113602</v>
      </c>
      <c r="G15" s="137">
        <f>'Operating Expenses 2020-2024'!G25</f>
        <v>189102.70968869282</v>
      </c>
    </row>
    <row r="16" spans="1:14" outlineLevel="1" x14ac:dyDescent="0.25">
      <c r="A16" s="246" t="s">
        <v>77</v>
      </c>
      <c r="B16" s="244"/>
      <c r="C16" s="137">
        <f>'Operating Expenses 2020-2024'!C26</f>
        <v>217873.02280164984</v>
      </c>
      <c r="D16" s="137">
        <f>'Operating Expenses 2020-2024'!D26</f>
        <v>239660.32508181484</v>
      </c>
      <c r="E16" s="137">
        <f>'Operating Expenses 2020-2024'!E26</f>
        <v>263626.35758999636</v>
      </c>
      <c r="F16" s="137">
        <f>'Operating Expenses 2020-2024'!F26</f>
        <v>276807.67546949617</v>
      </c>
      <c r="G16" s="137">
        <f>'Operating Expenses 2020-2024'!G26</f>
        <v>290648.05924297101</v>
      </c>
    </row>
    <row r="17" spans="1:7" outlineLevel="1" x14ac:dyDescent="0.25">
      <c r="A17" s="246" t="s">
        <v>66</v>
      </c>
      <c r="B17" s="244"/>
      <c r="C17" s="137">
        <f>'Operating Expenses 2020-2024'!C27</f>
        <v>24141.761510629076</v>
      </c>
      <c r="D17" s="137">
        <f>'Operating Expenses 2020-2024'!D27</f>
        <v>96567.046042516304</v>
      </c>
      <c r="E17" s="137">
        <f>'Operating Expenses 2020-2024'!E27</f>
        <v>106223.75064676795</v>
      </c>
      <c r="F17" s="137">
        <f>'Operating Expenses 2020-2024'!F27</f>
        <v>116846.12571144475</v>
      </c>
      <c r="G17" s="137">
        <f>'Operating Expenses 2020-2024'!G27</f>
        <v>128530.73828258924</v>
      </c>
    </row>
    <row r="18" spans="1:7" outlineLevel="1" x14ac:dyDescent="0.25">
      <c r="A18" s="246" t="s">
        <v>63</v>
      </c>
      <c r="B18" s="244"/>
      <c r="C18" s="137">
        <f>'Operating Expenses 2020-2024'!C28</f>
        <v>48342.636342180449</v>
      </c>
      <c r="D18" s="137">
        <f>'Operating Expenses 2020-2024'!D28</f>
        <v>58011.163610616539</v>
      </c>
      <c r="E18" s="137">
        <f>'Operating Expenses 2020-2024'!E28</f>
        <v>60911.721791147371</v>
      </c>
      <c r="F18" s="137">
        <f>'Operating Expenses 2020-2024'!F28</f>
        <v>63957.307880704742</v>
      </c>
      <c r="G18" s="137">
        <f>'Operating Expenses 2020-2024'!G28</f>
        <v>67155.17327473998</v>
      </c>
    </row>
    <row r="19" spans="1:7" outlineLevel="1" x14ac:dyDescent="0.25">
      <c r="A19" s="246" t="s">
        <v>65</v>
      </c>
      <c r="B19" s="244"/>
      <c r="C19" s="137">
        <f>'Operating Expenses 2020-2024'!C29</f>
        <v>14052.790902654135</v>
      </c>
      <c r="D19" s="137">
        <f>'Operating Expenses 2020-2024'!D29</f>
        <v>14755.430447786843</v>
      </c>
      <c r="E19" s="137">
        <f>'Operating Expenses 2020-2024'!E29</f>
        <v>15493.201970176186</v>
      </c>
      <c r="F19" s="137">
        <f>'Operating Expenses 2020-2024'!F29</f>
        <v>16267.862068684995</v>
      </c>
      <c r="G19" s="137">
        <f>'Operating Expenses 2020-2024'!G29</f>
        <v>17081.255172119247</v>
      </c>
    </row>
    <row r="20" spans="1:7" outlineLevel="1" x14ac:dyDescent="0.25">
      <c r="A20" s="247" t="s">
        <v>64</v>
      </c>
      <c r="B20" s="248"/>
      <c r="C20" s="141">
        <f>'Payroll 2020-2024'!B29</f>
        <v>447633.43999999994</v>
      </c>
      <c r="D20" s="141">
        <f>'Payroll 2020-2024'!C29</f>
        <v>2033680.3156722686</v>
      </c>
      <c r="E20" s="141">
        <f>'Payroll 2020-2024'!D29</f>
        <v>3041064.6585256765</v>
      </c>
      <c r="F20" s="141">
        <f>'Payroll 2020-2024'!E29</f>
        <v>3504412.5314346626</v>
      </c>
      <c r="G20" s="141">
        <f>'Payroll 2020-2024'!F29</f>
        <v>4171452.8109088689</v>
      </c>
    </row>
    <row r="21" spans="1:7" outlineLevel="1" x14ac:dyDescent="0.25">
      <c r="A21" s="249" t="s">
        <v>78</v>
      </c>
      <c r="B21" s="245"/>
      <c r="C21" s="138">
        <f>'Operating Expenses 2020-2024'!C30</f>
        <v>51281.003433733618</v>
      </c>
      <c r="D21" s="138">
        <f>'Operating Expenses 2020-2024'!D30</f>
        <v>51793.813468070955</v>
      </c>
      <c r="E21" s="138">
        <f>'Operating Expenses 2020-2024'!E30</f>
        <v>52311.751602751669</v>
      </c>
      <c r="F21" s="138">
        <f>'Operating Expenses 2020-2024'!F30</f>
        <v>52834.869118779185</v>
      </c>
      <c r="G21" s="138">
        <f>'Operating Expenses 2020-2024'!G30</f>
        <v>53363.217809966976</v>
      </c>
    </row>
    <row r="22" spans="1:7" outlineLevel="1" x14ac:dyDescent="0.25">
      <c r="A22" s="250" t="s">
        <v>67</v>
      </c>
      <c r="B22" s="250"/>
      <c r="C22" s="240">
        <f>SUM(C9:C21)</f>
        <v>1524534.5121084061</v>
      </c>
      <c r="D22" s="240">
        <f t="shared" ref="D22:G22" si="2">SUM(D9:D21)</f>
        <v>8071817.0892634578</v>
      </c>
      <c r="E22" s="240">
        <f t="shared" si="2"/>
        <v>14263022.057448452</v>
      </c>
      <c r="F22" s="240">
        <f t="shared" si="2"/>
        <v>19794718.802300841</v>
      </c>
      <c r="G22" s="240">
        <f t="shared" si="2"/>
        <v>23622142.211488098</v>
      </c>
    </row>
    <row r="23" spans="1:7" outlineLevel="1" x14ac:dyDescent="0.25">
      <c r="A23" s="243" t="s">
        <v>68</v>
      </c>
      <c r="B23" s="243"/>
      <c r="C23" s="239">
        <f>C6-C22</f>
        <v>-1214800.8121084061</v>
      </c>
      <c r="D23" s="239">
        <f>D6-D22</f>
        <v>-6520039.0784680042</v>
      </c>
      <c r="E23" s="239">
        <f>E6-E22</f>
        <v>-1595573.153284017</v>
      </c>
      <c r="F23" s="239">
        <f>F6-F22</f>
        <v>20280234.036952749</v>
      </c>
      <c r="G23" s="239">
        <f>G6-G22</f>
        <v>112621433.68617955</v>
      </c>
    </row>
    <row r="24" spans="1:7" outlineLevel="1" x14ac:dyDescent="0.25">
      <c r="C24" s="137"/>
      <c r="D24" s="137"/>
      <c r="E24" s="137"/>
      <c r="F24" s="137"/>
      <c r="G24" s="137"/>
    </row>
    <row r="25" spans="1:7" outlineLevel="1" x14ac:dyDescent="0.25">
      <c r="A25" s="244" t="s">
        <v>114</v>
      </c>
      <c r="B25" s="244"/>
      <c r="C25" s="137">
        <f>'Payroll 2020-2024'!B30</f>
        <v>0</v>
      </c>
      <c r="D25" s="137">
        <f>'Payroll 2020-2024'!C30</f>
        <v>0</v>
      </c>
      <c r="E25" s="137">
        <f>'Payroll 2020-2024'!D30</f>
        <v>0</v>
      </c>
      <c r="F25" s="137">
        <f>'Payroll 2020-2024'!E30</f>
        <v>2028023.4036952751</v>
      </c>
      <c r="G25" s="137">
        <f>'Payroll 2020-2024'!F30</f>
        <v>11262143.368617956</v>
      </c>
    </row>
    <row r="26" spans="1:7" outlineLevel="1" x14ac:dyDescent="0.25">
      <c r="A26" s="245" t="s">
        <v>69</v>
      </c>
      <c r="B26" s="245"/>
      <c r="C26" s="138"/>
      <c r="D26" s="138"/>
      <c r="E26" s="138"/>
      <c r="F26" s="138"/>
      <c r="G26" s="138"/>
    </row>
    <row r="27" spans="1:7" outlineLevel="1" x14ac:dyDescent="0.25">
      <c r="A27" s="243" t="s">
        <v>70</v>
      </c>
      <c r="B27" s="243"/>
      <c r="C27" s="239">
        <f>C23-C26</f>
        <v>-1214800.8121084061</v>
      </c>
      <c r="D27" s="239">
        <f t="shared" ref="D27:G27" si="3">D23-D26</f>
        <v>-6520039.0784680042</v>
      </c>
      <c r="E27" s="239">
        <f t="shared" si="3"/>
        <v>-1595573.153284017</v>
      </c>
      <c r="F27" s="239">
        <f t="shared" si="3"/>
        <v>20280234.036952749</v>
      </c>
      <c r="G27" s="239">
        <f t="shared" si="3"/>
        <v>112621433.68617955</v>
      </c>
    </row>
    <row r="28" spans="1:7" outlineLevel="1" x14ac:dyDescent="0.25">
      <c r="C28" s="146"/>
      <c r="D28" s="146"/>
      <c r="E28" s="146"/>
      <c r="F28" s="146"/>
      <c r="G28" s="146"/>
    </row>
    <row r="29" spans="1:7" outlineLevel="1" x14ac:dyDescent="0.25">
      <c r="A29" s="245" t="s">
        <v>71</v>
      </c>
      <c r="B29" s="251">
        <v>0.28999999999999998</v>
      </c>
      <c r="C29" s="147">
        <f>IF(C27&gt;0,C27*$B$29,0)</f>
        <v>0</v>
      </c>
      <c r="D29" s="147">
        <f t="shared" ref="D29:G29" si="4">IF(D27&gt;0,D27*$B$29,0)</f>
        <v>0</v>
      </c>
      <c r="E29" s="147">
        <f t="shared" si="4"/>
        <v>0</v>
      </c>
      <c r="F29" s="147">
        <f t="shared" si="4"/>
        <v>5881267.8707162971</v>
      </c>
      <c r="G29" s="147">
        <f t="shared" si="4"/>
        <v>32660215.768992066</v>
      </c>
    </row>
    <row r="30" spans="1:7" ht="17" outlineLevel="1" thickBot="1" x14ac:dyDescent="0.3">
      <c r="A30" s="252" t="s">
        <v>72</v>
      </c>
      <c r="B30" s="252"/>
      <c r="C30" s="241">
        <f>C27-C29</f>
        <v>-1214800.8121084061</v>
      </c>
      <c r="D30" s="241">
        <f t="shared" ref="D30:G30" si="5">D27-D29</f>
        <v>-6520039.0784680042</v>
      </c>
      <c r="E30" s="241">
        <f t="shared" si="5"/>
        <v>-1595573.153284017</v>
      </c>
      <c r="F30" s="241">
        <f t="shared" si="5"/>
        <v>14398966.166236453</v>
      </c>
      <c r="G30" s="241">
        <f t="shared" si="5"/>
        <v>79961217.917187482</v>
      </c>
    </row>
    <row r="31" spans="1:7" ht="17" outlineLevel="1" thickTop="1" x14ac:dyDescent="0.25"/>
    <row r="32" spans="1:7" x14ac:dyDescent="0.25">
      <c r="A32" s="2"/>
      <c r="C32" s="109"/>
    </row>
    <row r="33" spans="1:7" x14ac:dyDescent="0.25">
      <c r="A33" s="2"/>
    </row>
    <row r="34" spans="1:7" x14ac:dyDescent="0.25">
      <c r="C34" s="110"/>
      <c r="D34" s="110"/>
      <c r="E34" s="110"/>
      <c r="F34" s="110"/>
      <c r="G34" s="110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/>
  </sheetPr>
  <dimension ref="A1:N52"/>
  <sheetViews>
    <sheetView showGridLines="0" zoomScale="125" zoomScaleNormal="90" workbookViewId="0">
      <pane ySplit="2" topLeftCell="A11" activePane="bottomLeft" state="frozen"/>
      <selection pane="bottomLeft" activeCell="K1" sqref="K1:L1048576"/>
    </sheetView>
  </sheetViews>
  <sheetFormatPr baseColWidth="10" defaultColWidth="9.1640625" defaultRowHeight="16" outlineLevelRow="1" x14ac:dyDescent="0.25"/>
  <cols>
    <col min="1" max="1" width="33.6640625" style="1" customWidth="1"/>
    <col min="2" max="2" width="10.1640625" style="1" customWidth="1"/>
    <col min="3" max="10" width="11.83203125" style="1" customWidth="1"/>
    <col min="11" max="12" width="13.33203125" style="1" bestFit="1" customWidth="1"/>
    <col min="13" max="14" width="11.83203125" style="1" customWidth="1"/>
    <col min="15" max="16384" width="9.1640625" style="1"/>
  </cols>
  <sheetData>
    <row r="1" spans="1:14" s="4" customFormat="1" x14ac:dyDescent="0.25">
      <c r="A1" s="52" t="s">
        <v>438</v>
      </c>
      <c r="C1" s="49">
        <v>2020</v>
      </c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pans="1:14" s="4" customFormat="1" x14ac:dyDescent="0.25">
      <c r="A2" s="51"/>
      <c r="B2" s="3"/>
      <c r="C2" s="48" t="s">
        <v>43</v>
      </c>
      <c r="D2" s="48" t="s">
        <v>44</v>
      </c>
      <c r="E2" s="48" t="s">
        <v>45</v>
      </c>
      <c r="F2" s="48" t="s">
        <v>46</v>
      </c>
      <c r="G2" s="48" t="s">
        <v>0</v>
      </c>
      <c r="H2" s="48" t="s">
        <v>47</v>
      </c>
      <c r="I2" s="48" t="s">
        <v>48</v>
      </c>
      <c r="J2" s="48" t="s">
        <v>49</v>
      </c>
      <c r="K2" s="48" t="s">
        <v>50</v>
      </c>
      <c r="L2" s="48" t="s">
        <v>51</v>
      </c>
      <c r="M2" s="48" t="s">
        <v>52</v>
      </c>
      <c r="N2" s="48" t="s">
        <v>53</v>
      </c>
    </row>
    <row r="3" spans="1:14" s="85" customFormat="1" x14ac:dyDescent="0.25">
      <c r="A3" s="92" t="s">
        <v>84</v>
      </c>
      <c r="B3" s="9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</row>
    <row r="4" spans="1:14" outlineLevel="1" x14ac:dyDescent="0.25">
      <c r="A4" s="253" t="s">
        <v>85</v>
      </c>
      <c r="B4" s="254"/>
      <c r="C4" s="65"/>
      <c r="D4" s="65"/>
      <c r="E4" s="65"/>
      <c r="F4" s="65"/>
    </row>
    <row r="5" spans="1:14" outlineLevel="1" x14ac:dyDescent="0.25">
      <c r="A5" s="255" t="s">
        <v>86</v>
      </c>
      <c r="B5" s="254"/>
      <c r="C5" s="109"/>
      <c r="D5" s="109"/>
      <c r="E5" s="109"/>
      <c r="F5" s="109"/>
      <c r="G5" s="114"/>
      <c r="H5" s="114"/>
      <c r="I5" s="114"/>
      <c r="J5" s="114"/>
      <c r="K5" s="114"/>
      <c r="L5" s="114"/>
      <c r="M5" s="114"/>
      <c r="N5" s="114"/>
    </row>
    <row r="6" spans="1:14" outlineLevel="1" x14ac:dyDescent="0.25">
      <c r="A6" s="256" t="s">
        <v>87</v>
      </c>
      <c r="B6" s="254"/>
      <c r="C6" s="274">
        <f>'Cash Flow Statement 2020'!C23</f>
        <v>-2880.3500000000058</v>
      </c>
      <c r="D6" s="274">
        <f>'Cash Flow Statement 2020'!D23</f>
        <v>1945.4289999999892</v>
      </c>
      <c r="E6" s="274">
        <f>'Cash Flow Statement 2020'!E23</f>
        <v>-86557.255380000017</v>
      </c>
      <c r="F6" s="274">
        <f>'Cash Flow Statement 2020'!F23</f>
        <v>-118249.23344760001</v>
      </c>
      <c r="G6" s="274">
        <f>'Cash Flow Statement 2020'!G23</f>
        <v>-166697.69786655201</v>
      </c>
      <c r="H6" s="274">
        <f>'Cash Flow Statement 2020'!H23</f>
        <v>-228612.05460178308</v>
      </c>
      <c r="I6" s="274">
        <f>'Cash Flow Statement 2020'!I23</f>
        <v>9619352.5996967033</v>
      </c>
      <c r="J6" s="274">
        <f>'Cash Flow Statement 2020'!J23</f>
        <v>9450043.7457514107</v>
      </c>
      <c r="K6" s="274">
        <f>'Cash Flow Statement 2020'!K23</f>
        <v>13244788.952050267</v>
      </c>
      <c r="L6" s="274">
        <f>'Cash Flow Statement 2020'!L23</f>
        <v>13007442.20216262</v>
      </c>
      <c r="M6" s="274">
        <f>'Cash Flow Statement 2020'!M23</f>
        <v>12755648.048062136</v>
      </c>
      <c r="N6" s="274">
        <f>'Cash Flow Statement 2020'!N23</f>
        <v>12498316.941536495</v>
      </c>
    </row>
    <row r="7" spans="1:14" outlineLevel="1" x14ac:dyDescent="0.25">
      <c r="A7" s="256" t="s">
        <v>88</v>
      </c>
      <c r="B7" s="25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</row>
    <row r="8" spans="1:14" outlineLevel="1" x14ac:dyDescent="0.25">
      <c r="A8" s="256" t="s">
        <v>89</v>
      </c>
      <c r="B8" s="25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</row>
    <row r="9" spans="1:14" outlineLevel="1" x14ac:dyDescent="0.25">
      <c r="A9" s="257" t="s">
        <v>90</v>
      </c>
      <c r="B9" s="258"/>
      <c r="C9" s="283">
        <v>1000</v>
      </c>
      <c r="D9" s="283">
        <f>C9*1.01</f>
        <v>1010</v>
      </c>
      <c r="E9" s="283">
        <f t="shared" ref="E9:N9" si="0">D9*1.01</f>
        <v>1020.1</v>
      </c>
      <c r="F9" s="283">
        <f t="shared" si="0"/>
        <v>1030.3009999999999</v>
      </c>
      <c r="G9" s="283">
        <f t="shared" si="0"/>
        <v>1040.60401</v>
      </c>
      <c r="H9" s="283">
        <f t="shared" si="0"/>
        <v>1051.0100500999999</v>
      </c>
      <c r="I9" s="283">
        <f t="shared" si="0"/>
        <v>1061.5201506009998</v>
      </c>
      <c r="J9" s="283">
        <f t="shared" si="0"/>
        <v>1072.1353521070098</v>
      </c>
      <c r="K9" s="283">
        <f t="shared" si="0"/>
        <v>1082.8567056280799</v>
      </c>
      <c r="L9" s="283">
        <f t="shared" si="0"/>
        <v>1093.6852726843608</v>
      </c>
      <c r="M9" s="283">
        <f t="shared" si="0"/>
        <v>1104.6221254112045</v>
      </c>
      <c r="N9" s="283">
        <f t="shared" si="0"/>
        <v>1115.6683466653164</v>
      </c>
    </row>
    <row r="10" spans="1:14" outlineLevel="1" x14ac:dyDescent="0.25">
      <c r="A10" s="256" t="s">
        <v>91</v>
      </c>
      <c r="B10" s="259"/>
      <c r="C10" s="280">
        <f t="shared" ref="C10:G10" si="1">SUM(C6:C9)</f>
        <v>-1880.3500000000058</v>
      </c>
      <c r="D10" s="280">
        <f t="shared" si="1"/>
        <v>2955.4289999999892</v>
      </c>
      <c r="E10" s="280">
        <f t="shared" si="1"/>
        <v>-85537.155380000011</v>
      </c>
      <c r="F10" s="280">
        <f t="shared" si="1"/>
        <v>-117218.9324476</v>
      </c>
      <c r="G10" s="280">
        <f t="shared" si="1"/>
        <v>-165657.093856552</v>
      </c>
      <c r="H10" s="280">
        <f t="shared" ref="H10:N10" si="2">SUM(H6:H9)</f>
        <v>-227561.04455168307</v>
      </c>
      <c r="I10" s="280">
        <f t="shared" si="2"/>
        <v>9620414.1198473051</v>
      </c>
      <c r="J10" s="280">
        <f t="shared" si="2"/>
        <v>9451115.8811035175</v>
      </c>
      <c r="K10" s="280">
        <f t="shared" si="2"/>
        <v>13245871.808755895</v>
      </c>
      <c r="L10" s="280">
        <f t="shared" si="2"/>
        <v>13008535.887435304</v>
      </c>
      <c r="M10" s="280">
        <f t="shared" si="2"/>
        <v>12756752.670187548</v>
      </c>
      <c r="N10" s="280">
        <f t="shared" si="2"/>
        <v>12499432.609883161</v>
      </c>
    </row>
    <row r="11" spans="1:14" outlineLevel="1" x14ac:dyDescent="0.25">
      <c r="A11" s="260"/>
      <c r="B11" s="254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</row>
    <row r="12" spans="1:14" outlineLevel="1" x14ac:dyDescent="0.25">
      <c r="A12" s="260" t="s">
        <v>92</v>
      </c>
      <c r="B12" s="254"/>
      <c r="C12" s="274">
        <f>C45</f>
        <v>29800</v>
      </c>
      <c r="D12" s="274">
        <f t="shared" ref="D12:N12" si="3">D45</f>
        <v>39600</v>
      </c>
      <c r="E12" s="274">
        <f t="shared" si="3"/>
        <v>49400</v>
      </c>
      <c r="F12" s="274">
        <f t="shared" si="3"/>
        <v>58775</v>
      </c>
      <c r="G12" s="274">
        <f t="shared" si="3"/>
        <v>68150</v>
      </c>
      <c r="H12" s="274">
        <f t="shared" si="3"/>
        <v>77525</v>
      </c>
      <c r="I12" s="274">
        <f t="shared" si="3"/>
        <v>86900</v>
      </c>
      <c r="J12" s="274">
        <f t="shared" si="3"/>
        <v>96275</v>
      </c>
      <c r="K12" s="274">
        <f t="shared" si="3"/>
        <v>105650</v>
      </c>
      <c r="L12" s="274">
        <f t="shared" si="3"/>
        <v>115025</v>
      </c>
      <c r="M12" s="274">
        <f t="shared" si="3"/>
        <v>124400</v>
      </c>
      <c r="N12" s="274">
        <f t="shared" si="3"/>
        <v>133775</v>
      </c>
    </row>
    <row r="13" spans="1:14" ht="17" outlineLevel="1" thickBot="1" x14ac:dyDescent="0.3">
      <c r="A13" s="261" t="s">
        <v>93</v>
      </c>
      <c r="B13" s="262"/>
      <c r="C13" s="276">
        <f t="shared" ref="C13:N13" si="4">SUM(C10:C12)</f>
        <v>27919.649999999994</v>
      </c>
      <c r="D13" s="276">
        <f t="shared" si="4"/>
        <v>42555.428999999989</v>
      </c>
      <c r="E13" s="276">
        <f t="shared" si="4"/>
        <v>-36137.155380000011</v>
      </c>
      <c r="F13" s="276">
        <f t="shared" si="4"/>
        <v>-58443.932447600004</v>
      </c>
      <c r="G13" s="276">
        <f t="shared" si="4"/>
        <v>-97507.093856552005</v>
      </c>
      <c r="H13" s="276">
        <f t="shared" si="4"/>
        <v>-150036.04455168307</v>
      </c>
      <c r="I13" s="276">
        <f t="shared" si="4"/>
        <v>9707314.1198473051</v>
      </c>
      <c r="J13" s="276">
        <f t="shared" si="4"/>
        <v>9547390.8811035175</v>
      </c>
      <c r="K13" s="276">
        <f t="shared" si="4"/>
        <v>13351521.808755895</v>
      </c>
      <c r="L13" s="276">
        <f t="shared" si="4"/>
        <v>13123560.887435304</v>
      </c>
      <c r="M13" s="276">
        <f t="shared" si="4"/>
        <v>12881152.670187548</v>
      </c>
      <c r="N13" s="276">
        <f t="shared" si="4"/>
        <v>12633207.609883161</v>
      </c>
    </row>
    <row r="14" spans="1:14" ht="17" outlineLevel="1" thickTop="1" x14ac:dyDescent="0.25">
      <c r="A14" s="69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</row>
    <row r="15" spans="1:14" outlineLevel="1" x14ac:dyDescent="0.25">
      <c r="A15" s="253" t="s">
        <v>94</v>
      </c>
      <c r="B15" s="254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</row>
    <row r="16" spans="1:14" outlineLevel="1" x14ac:dyDescent="0.25">
      <c r="A16" s="255" t="s">
        <v>95</v>
      </c>
      <c r="B16" s="254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</row>
    <row r="17" spans="1:14" outlineLevel="1" x14ac:dyDescent="0.25">
      <c r="A17" s="256" t="s">
        <v>96</v>
      </c>
      <c r="B17" s="282">
        <v>15000</v>
      </c>
      <c r="C17" s="124">
        <f>5000</f>
        <v>5000</v>
      </c>
      <c r="D17" s="124">
        <f>C17</f>
        <v>5000</v>
      </c>
      <c r="E17" s="124">
        <f t="shared" ref="E17:N17" si="5">D17</f>
        <v>5000</v>
      </c>
      <c r="F17" s="124">
        <f>E17+B17</f>
        <v>20000</v>
      </c>
      <c r="G17" s="124">
        <f t="shared" si="5"/>
        <v>20000</v>
      </c>
      <c r="H17" s="124">
        <f t="shared" si="5"/>
        <v>20000</v>
      </c>
      <c r="I17" s="124">
        <f t="shared" si="5"/>
        <v>20000</v>
      </c>
      <c r="J17" s="124">
        <f t="shared" si="5"/>
        <v>20000</v>
      </c>
      <c r="K17" s="124">
        <f t="shared" si="5"/>
        <v>20000</v>
      </c>
      <c r="L17" s="124">
        <f t="shared" si="5"/>
        <v>20000</v>
      </c>
      <c r="M17" s="124">
        <f t="shared" si="5"/>
        <v>20000</v>
      </c>
      <c r="N17" s="124">
        <f t="shared" si="5"/>
        <v>20000</v>
      </c>
    </row>
    <row r="18" spans="1:14" outlineLevel="1" x14ac:dyDescent="0.25">
      <c r="A18" s="257" t="s">
        <v>97</v>
      </c>
      <c r="B18" s="281">
        <v>0.05</v>
      </c>
      <c r="C18" s="283">
        <f>'Operating Expenses 2020'!C44*$B$18</f>
        <v>1131.375</v>
      </c>
      <c r="D18" s="283">
        <f>'Operating Expenses 2020'!D44*$B$18</f>
        <v>1144.5525</v>
      </c>
      <c r="E18" s="283">
        <f>'Operating Expenses 2020'!E44*$B$18</f>
        <v>1891.5109499999999</v>
      </c>
      <c r="F18" s="283">
        <f>'Operating Expenses 2020'!F44*$B$18</f>
        <v>563.5536689999999</v>
      </c>
      <c r="G18" s="283">
        <f>'Operating Expenses 2020'!G44*$B$18</f>
        <v>571.29674238000007</v>
      </c>
      <c r="H18" s="283">
        <f>'Operating Expenses 2020'!H44*$B$18</f>
        <v>3409.4328222276004</v>
      </c>
      <c r="I18" s="283">
        <f>'Operating Expenses 2020'!I44*$B$18</f>
        <v>6055.0052586221518</v>
      </c>
      <c r="J18" s="283">
        <f>'Operating Expenses 2020'!J44*$B$18</f>
        <v>6480.0960176775952</v>
      </c>
      <c r="K18" s="283">
        <f>'Operating Expenses 2020'!K44*$B$18</f>
        <v>7002.5318787954811</v>
      </c>
      <c r="L18" s="283">
        <f>'Operating Expenses 2020'!L44*$B$18</f>
        <v>7650.7422814211504</v>
      </c>
      <c r="M18" s="283">
        <f>'Operating Expenses 2020'!M44*$B$18</f>
        <v>8461.6639622989442</v>
      </c>
      <c r="N18" s="283">
        <f>'Operating Expenses 2020'!N44*$B$18</f>
        <v>9483.2925229973735</v>
      </c>
    </row>
    <row r="19" spans="1:14" outlineLevel="1" x14ac:dyDescent="0.25">
      <c r="A19" s="256" t="s">
        <v>98</v>
      </c>
      <c r="B19" s="259"/>
      <c r="C19" s="280">
        <f t="shared" ref="C19:N19" si="6">SUM(C17:C18)</f>
        <v>6131.375</v>
      </c>
      <c r="D19" s="280">
        <f t="shared" si="6"/>
        <v>6144.5524999999998</v>
      </c>
      <c r="E19" s="280">
        <f t="shared" si="6"/>
        <v>6891.5109499999999</v>
      </c>
      <c r="F19" s="280">
        <f t="shared" si="6"/>
        <v>20563.553669000001</v>
      </c>
      <c r="G19" s="280">
        <f t="shared" si="6"/>
        <v>20571.29674238</v>
      </c>
      <c r="H19" s="280">
        <f t="shared" si="6"/>
        <v>23409.432822227602</v>
      </c>
      <c r="I19" s="280">
        <f t="shared" si="6"/>
        <v>26055.00525862215</v>
      </c>
      <c r="J19" s="280">
        <f t="shared" si="6"/>
        <v>26480.096017677595</v>
      </c>
      <c r="K19" s="280">
        <f t="shared" si="6"/>
        <v>27002.531878795482</v>
      </c>
      <c r="L19" s="280">
        <f t="shared" si="6"/>
        <v>27650.74228142115</v>
      </c>
      <c r="M19" s="280">
        <f t="shared" si="6"/>
        <v>28461.663962298946</v>
      </c>
      <c r="N19" s="280">
        <f t="shared" si="6"/>
        <v>29483.292522997373</v>
      </c>
    </row>
    <row r="20" spans="1:14" outlineLevel="1" x14ac:dyDescent="0.25">
      <c r="A20" s="256"/>
      <c r="B20" s="259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</row>
    <row r="21" spans="1:14" outlineLevel="1" x14ac:dyDescent="0.25">
      <c r="A21" s="255" t="s">
        <v>99</v>
      </c>
      <c r="B21" s="254"/>
      <c r="C21" s="274">
        <f>C50</f>
        <v>300000</v>
      </c>
      <c r="D21" s="274">
        <f t="shared" ref="D21:N21" si="7">D50</f>
        <v>300000</v>
      </c>
      <c r="E21" s="274">
        <f t="shared" si="7"/>
        <v>300000</v>
      </c>
      <c r="F21" s="274">
        <f t="shared" si="7"/>
        <v>300000</v>
      </c>
      <c r="G21" s="274">
        <f t="shared" si="7"/>
        <v>300000</v>
      </c>
      <c r="H21" s="274">
        <f t="shared" si="7"/>
        <v>300000</v>
      </c>
      <c r="I21" s="274">
        <f t="shared" si="7"/>
        <v>300000</v>
      </c>
      <c r="J21" s="274">
        <f t="shared" si="7"/>
        <v>300000</v>
      </c>
      <c r="K21" s="274">
        <f t="shared" si="7"/>
        <v>300000</v>
      </c>
      <c r="L21" s="274">
        <f t="shared" si="7"/>
        <v>300000</v>
      </c>
      <c r="M21" s="274">
        <f t="shared" si="7"/>
        <v>300000</v>
      </c>
      <c r="N21" s="274">
        <f t="shared" si="7"/>
        <v>300000</v>
      </c>
    </row>
    <row r="22" spans="1:14" outlineLevel="1" x14ac:dyDescent="0.25">
      <c r="A22" s="263" t="s">
        <v>100</v>
      </c>
      <c r="B22" s="264"/>
      <c r="C22" s="284">
        <f t="shared" ref="C22:N22" si="8">SUM(C19:C21)</f>
        <v>306131.375</v>
      </c>
      <c r="D22" s="284">
        <f t="shared" si="8"/>
        <v>306144.55249999999</v>
      </c>
      <c r="E22" s="284">
        <f t="shared" si="8"/>
        <v>306891.51095000003</v>
      </c>
      <c r="F22" s="284">
        <f t="shared" si="8"/>
        <v>320563.55366899999</v>
      </c>
      <c r="G22" s="284">
        <f t="shared" si="8"/>
        <v>320571.29674238001</v>
      </c>
      <c r="H22" s="284">
        <f t="shared" si="8"/>
        <v>323409.43282222759</v>
      </c>
      <c r="I22" s="284">
        <f t="shared" si="8"/>
        <v>326055.00525862217</v>
      </c>
      <c r="J22" s="284">
        <f t="shared" si="8"/>
        <v>326480.09601767757</v>
      </c>
      <c r="K22" s="284">
        <f t="shared" si="8"/>
        <v>327002.53187879547</v>
      </c>
      <c r="L22" s="284">
        <f t="shared" si="8"/>
        <v>327650.74228142115</v>
      </c>
      <c r="M22" s="284">
        <f t="shared" si="8"/>
        <v>328461.66396229895</v>
      </c>
      <c r="N22" s="284">
        <f t="shared" si="8"/>
        <v>329483.29252299736</v>
      </c>
    </row>
    <row r="23" spans="1:14" outlineLevel="1" x14ac:dyDescent="0.25">
      <c r="A23" s="69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</row>
    <row r="24" spans="1:14" outlineLevel="1" x14ac:dyDescent="0.25">
      <c r="A24" s="253" t="s">
        <v>101</v>
      </c>
      <c r="B24" s="254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</row>
    <row r="25" spans="1:14" outlineLevel="1" x14ac:dyDescent="0.25">
      <c r="A25" s="255" t="s">
        <v>102</v>
      </c>
      <c r="B25" s="254"/>
      <c r="C25" s="287">
        <f>IF('Income Statement 2020'!C29&gt;0,'Income Statement 2020'!C29*3%,0)</f>
        <v>0</v>
      </c>
      <c r="D25" s="287">
        <f>IF('Income Statement 2020'!D29&gt;0,'Income Statement 2020'!D29*3%,0)</f>
        <v>0</v>
      </c>
      <c r="E25" s="287">
        <f>IF('Income Statement 2020'!E29&gt;0,'Income Statement 2020'!E29*3%,0)</f>
        <v>0</v>
      </c>
      <c r="F25" s="287">
        <f>IF('Income Statement 2020'!F29&gt;0,'Income Statement 2020'!F29*3%,0)</f>
        <v>0</v>
      </c>
      <c r="G25" s="287">
        <f>IF('Income Statement 2020'!G29&gt;0,'Income Statement 2020'!G29*3%,0)</f>
        <v>0</v>
      </c>
      <c r="H25" s="287">
        <f>IF('Income Statement 2020'!H29&gt;0,'Income Statement 2020'!H29*3%,0)</f>
        <v>0</v>
      </c>
      <c r="I25" s="287">
        <f>IF('Income Statement 2020'!I29&gt;0,'Income Statement 2020'!I29*3%,0)</f>
        <v>0</v>
      </c>
      <c r="J25" s="287">
        <f>IF('Income Statement 2020'!J29&gt;0,'Income Statement 2020'!J29*3%,0)</f>
        <v>0</v>
      </c>
      <c r="K25" s="287">
        <f>IF('Income Statement 2020'!K29&gt;0,'Income Statement 2020'!K29*3%,0)</f>
        <v>0</v>
      </c>
      <c r="L25" s="287">
        <f>IF('Income Statement 2020'!L29&gt;0,'Income Statement 2020'!L29*3%,0)</f>
        <v>0</v>
      </c>
      <c r="M25" s="287">
        <f>IF('Income Statement 2020'!M29&gt;0,'Income Statement 2020'!M29*3%,0)</f>
        <v>0</v>
      </c>
      <c r="N25" s="287">
        <f>IF('Income Statement 2020'!N29&gt;0,'Income Statement 2020'!N29*3%,0)</f>
        <v>0</v>
      </c>
    </row>
    <row r="26" spans="1:14" outlineLevel="1" x14ac:dyDescent="0.25">
      <c r="A26" s="255" t="s">
        <v>103</v>
      </c>
      <c r="B26" s="254"/>
      <c r="C26" s="287">
        <f>IF('Income Statement 2020'!C29&gt;0,'Income Statement 2020'!C29-'Balance Sheet 2020'!C25,0)</f>
        <v>0</v>
      </c>
      <c r="D26" s="287">
        <f>IF('Income Statement 2020'!D29&gt;0,'Income Statement 2020'!D29-'Balance Sheet 2020'!D25,0)</f>
        <v>0</v>
      </c>
      <c r="E26" s="287">
        <f>IF('Income Statement 2020'!E29&gt;0,'Income Statement 2020'!E29-'Balance Sheet 2020'!E25,0)</f>
        <v>0</v>
      </c>
      <c r="F26" s="287">
        <f>IF('Income Statement 2020'!F29&gt;0,'Income Statement 2020'!F29-'Balance Sheet 2020'!F25,0)</f>
        <v>0</v>
      </c>
      <c r="G26" s="287">
        <f>IF('Income Statement 2020'!G29&gt;0,'Income Statement 2020'!G29-'Balance Sheet 2020'!G25,0)</f>
        <v>0</v>
      </c>
      <c r="H26" s="287">
        <f>IF('Income Statement 2020'!H29&gt;0,'Income Statement 2020'!H29-'Balance Sheet 2020'!H25,0)</f>
        <v>0</v>
      </c>
      <c r="I26" s="287">
        <f>IF('Income Statement 2020'!I29&gt;0,'Income Statement 2020'!I29-'Balance Sheet 2020'!I25,0)</f>
        <v>0</v>
      </c>
      <c r="J26" s="287">
        <f>IF('Income Statement 2020'!J29&gt;0,'Income Statement 2020'!J29-'Balance Sheet 2020'!J25,0)</f>
        <v>0</v>
      </c>
      <c r="K26" s="287">
        <f>IF('Income Statement 2020'!K29&gt;0,'Income Statement 2020'!K29-'Balance Sheet 2020'!K25,0)</f>
        <v>0</v>
      </c>
      <c r="L26" s="287">
        <f>IF('Income Statement 2020'!L29&gt;0,'Income Statement 2020'!L29-'Balance Sheet 2020'!L25,0)</f>
        <v>0</v>
      </c>
      <c r="M26" s="287">
        <f>IF('Income Statement 2020'!M29&gt;0,'Income Statement 2020'!M29-'Balance Sheet 2020'!M25,0)</f>
        <v>0</v>
      </c>
      <c r="N26" s="287">
        <f>IF('Income Statement 2020'!N29&gt;0,'Income Statement 2020'!N29-'Balance Sheet 2020'!N25,0)</f>
        <v>0</v>
      </c>
    </row>
    <row r="27" spans="1:14" outlineLevel="1" x14ac:dyDescent="0.25">
      <c r="A27" s="265" t="s">
        <v>101</v>
      </c>
      <c r="B27" s="266"/>
      <c r="C27" s="275">
        <f t="shared" ref="C27:G27" si="9">SUM(C25:C26)</f>
        <v>0</v>
      </c>
      <c r="D27" s="275">
        <f t="shared" si="9"/>
        <v>0</v>
      </c>
      <c r="E27" s="275">
        <f t="shared" si="9"/>
        <v>0</v>
      </c>
      <c r="F27" s="275">
        <f t="shared" si="9"/>
        <v>0</v>
      </c>
      <c r="G27" s="275">
        <f t="shared" si="9"/>
        <v>0</v>
      </c>
      <c r="H27" s="275">
        <f t="shared" ref="H27:N27" si="10">SUM(H25:H26)</f>
        <v>0</v>
      </c>
      <c r="I27" s="275">
        <f t="shared" si="10"/>
        <v>0</v>
      </c>
      <c r="J27" s="275">
        <f t="shared" si="10"/>
        <v>0</v>
      </c>
      <c r="K27" s="275">
        <f t="shared" si="10"/>
        <v>0</v>
      </c>
      <c r="L27" s="275">
        <f t="shared" si="10"/>
        <v>0</v>
      </c>
      <c r="M27" s="275">
        <f t="shared" si="10"/>
        <v>0</v>
      </c>
      <c r="N27" s="275">
        <f t="shared" si="10"/>
        <v>0</v>
      </c>
    </row>
    <row r="28" spans="1:14" ht="17" outlineLevel="1" thickBot="1" x14ac:dyDescent="0.3">
      <c r="A28" s="261" t="s">
        <v>104</v>
      </c>
      <c r="B28" s="262"/>
      <c r="C28" s="276">
        <f t="shared" ref="C28:G28" si="11">C22+C27</f>
        <v>306131.375</v>
      </c>
      <c r="D28" s="276">
        <f t="shared" si="11"/>
        <v>306144.55249999999</v>
      </c>
      <c r="E28" s="276">
        <f t="shared" si="11"/>
        <v>306891.51095000003</v>
      </c>
      <c r="F28" s="276">
        <f t="shared" si="11"/>
        <v>320563.55366899999</v>
      </c>
      <c r="G28" s="276">
        <f t="shared" si="11"/>
        <v>320571.29674238001</v>
      </c>
      <c r="H28" s="276">
        <f t="shared" ref="H28:N28" si="12">H22+H27</f>
        <v>323409.43282222759</v>
      </c>
      <c r="I28" s="276">
        <f t="shared" si="12"/>
        <v>326055.00525862217</v>
      </c>
      <c r="J28" s="276">
        <f t="shared" si="12"/>
        <v>326480.09601767757</v>
      </c>
      <c r="K28" s="276">
        <f t="shared" si="12"/>
        <v>327002.53187879547</v>
      </c>
      <c r="L28" s="276">
        <f t="shared" si="12"/>
        <v>327650.74228142115</v>
      </c>
      <c r="M28" s="276">
        <f t="shared" si="12"/>
        <v>328461.66396229895</v>
      </c>
      <c r="N28" s="276">
        <f t="shared" si="12"/>
        <v>329483.29252299736</v>
      </c>
    </row>
    <row r="29" spans="1:14" ht="17" outlineLevel="1" thickTop="1" x14ac:dyDescent="0.25">
      <c r="A29" s="255"/>
      <c r="B29" s="254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1:14" outlineLevel="1" x14ac:dyDescent="0.25">
      <c r="A30" s="267" t="s">
        <v>105</v>
      </c>
      <c r="B30" s="268"/>
      <c r="C30" s="285">
        <f>C28-C13</f>
        <v>278211.72499999998</v>
      </c>
      <c r="D30" s="285">
        <f t="shared" ref="D30:N30" si="13">D28-D13</f>
        <v>263589.12349999999</v>
      </c>
      <c r="E30" s="285">
        <f t="shared" si="13"/>
        <v>343028.66633000004</v>
      </c>
      <c r="F30" s="285">
        <f t="shared" si="13"/>
        <v>379007.48611659999</v>
      </c>
      <c r="G30" s="285">
        <f t="shared" si="13"/>
        <v>418078.39059893205</v>
      </c>
      <c r="H30" s="285">
        <f t="shared" si="13"/>
        <v>473445.47737391066</v>
      </c>
      <c r="I30" s="285">
        <f t="shared" si="13"/>
        <v>-9381259.1145886835</v>
      </c>
      <c r="J30" s="285">
        <f t="shared" si="13"/>
        <v>-9220910.7850858402</v>
      </c>
      <c r="K30" s="285">
        <f t="shared" si="13"/>
        <v>-13024519.2768771</v>
      </c>
      <c r="L30" s="285">
        <f t="shared" si="13"/>
        <v>-12795910.145153882</v>
      </c>
      <c r="M30" s="285">
        <f t="shared" si="13"/>
        <v>-12552691.006225249</v>
      </c>
      <c r="N30" s="285">
        <f t="shared" si="13"/>
        <v>-12303724.317360165</v>
      </c>
    </row>
    <row r="31" spans="1:14" outlineLevel="1" x14ac:dyDescent="0.25"/>
    <row r="33" spans="1:14" x14ac:dyDescent="0.25">
      <c r="A33" s="9" t="s">
        <v>118</v>
      </c>
      <c r="B33" s="5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outlineLevel="1" x14ac:dyDescent="0.25">
      <c r="A34" s="243" t="s">
        <v>119</v>
      </c>
      <c r="B34" s="269"/>
      <c r="C34" s="74"/>
      <c r="D34" s="74"/>
      <c r="E34" s="74"/>
      <c r="F34" s="74"/>
      <c r="G34" s="74"/>
    </row>
    <row r="35" spans="1:14" outlineLevel="1" x14ac:dyDescent="0.25">
      <c r="A35" s="244" t="s">
        <v>88</v>
      </c>
      <c r="B35" s="244"/>
      <c r="C35" s="114">
        <f t="shared" ref="C35:N35" si="14">C7</f>
        <v>0</v>
      </c>
      <c r="D35" s="114">
        <f t="shared" si="14"/>
        <v>0</v>
      </c>
      <c r="E35" s="114">
        <f t="shared" si="14"/>
        <v>0</v>
      </c>
      <c r="F35" s="114">
        <f t="shared" si="14"/>
        <v>0</v>
      </c>
      <c r="G35" s="114">
        <f t="shared" si="14"/>
        <v>0</v>
      </c>
      <c r="H35" s="114">
        <f t="shared" si="14"/>
        <v>0</v>
      </c>
      <c r="I35" s="114">
        <f t="shared" si="14"/>
        <v>0</v>
      </c>
      <c r="J35" s="114">
        <f t="shared" si="14"/>
        <v>0</v>
      </c>
      <c r="K35" s="114">
        <f t="shared" si="14"/>
        <v>0</v>
      </c>
      <c r="L35" s="114">
        <f t="shared" si="14"/>
        <v>0</v>
      </c>
      <c r="M35" s="114">
        <f t="shared" si="14"/>
        <v>0</v>
      </c>
      <c r="N35" s="114">
        <f t="shared" si="14"/>
        <v>0</v>
      </c>
    </row>
    <row r="36" spans="1:14" outlineLevel="1" x14ac:dyDescent="0.25">
      <c r="A36" s="244" t="s">
        <v>90</v>
      </c>
      <c r="B36" s="244"/>
      <c r="C36" s="114">
        <f t="shared" ref="C36:N36" si="15">C9</f>
        <v>1000</v>
      </c>
      <c r="D36" s="114">
        <f t="shared" si="15"/>
        <v>1010</v>
      </c>
      <c r="E36" s="114">
        <f t="shared" si="15"/>
        <v>1020.1</v>
      </c>
      <c r="F36" s="114">
        <f t="shared" si="15"/>
        <v>1030.3009999999999</v>
      </c>
      <c r="G36" s="114">
        <f t="shared" si="15"/>
        <v>1040.60401</v>
      </c>
      <c r="H36" s="114">
        <f t="shared" si="15"/>
        <v>1051.0100500999999</v>
      </c>
      <c r="I36" s="114">
        <f t="shared" si="15"/>
        <v>1061.5201506009998</v>
      </c>
      <c r="J36" s="114">
        <f t="shared" si="15"/>
        <v>1072.1353521070098</v>
      </c>
      <c r="K36" s="114">
        <f t="shared" si="15"/>
        <v>1082.8567056280799</v>
      </c>
      <c r="L36" s="114">
        <f t="shared" si="15"/>
        <v>1093.6852726843608</v>
      </c>
      <c r="M36" s="114">
        <f t="shared" si="15"/>
        <v>1104.6221254112045</v>
      </c>
      <c r="N36" s="114">
        <f t="shared" si="15"/>
        <v>1115.6683466653164</v>
      </c>
    </row>
    <row r="37" spans="1:14" outlineLevel="1" x14ac:dyDescent="0.25">
      <c r="A37" s="245" t="s">
        <v>96</v>
      </c>
      <c r="B37" s="245"/>
      <c r="C37" s="225">
        <f>C17</f>
        <v>5000</v>
      </c>
      <c r="D37" s="225">
        <f t="shared" ref="D37:N37" si="16">D17</f>
        <v>5000</v>
      </c>
      <c r="E37" s="225">
        <f t="shared" si="16"/>
        <v>5000</v>
      </c>
      <c r="F37" s="225">
        <f t="shared" si="16"/>
        <v>20000</v>
      </c>
      <c r="G37" s="225">
        <f t="shared" si="16"/>
        <v>20000</v>
      </c>
      <c r="H37" s="225">
        <f t="shared" si="16"/>
        <v>20000</v>
      </c>
      <c r="I37" s="225">
        <f t="shared" si="16"/>
        <v>20000</v>
      </c>
      <c r="J37" s="225">
        <f t="shared" si="16"/>
        <v>20000</v>
      </c>
      <c r="K37" s="225">
        <f t="shared" si="16"/>
        <v>20000</v>
      </c>
      <c r="L37" s="225">
        <f t="shared" si="16"/>
        <v>20000</v>
      </c>
      <c r="M37" s="225">
        <f t="shared" si="16"/>
        <v>20000</v>
      </c>
      <c r="N37" s="225">
        <f t="shared" si="16"/>
        <v>20000</v>
      </c>
    </row>
    <row r="38" spans="1:14" outlineLevel="1" x14ac:dyDescent="0.25">
      <c r="A38" s="244" t="s">
        <v>120</v>
      </c>
      <c r="B38" s="244"/>
      <c r="C38" s="114">
        <f>C35+C36-C37</f>
        <v>-4000</v>
      </c>
      <c r="D38" s="114">
        <f t="shared" ref="D38:N38" si="17">D35+D36-D37</f>
        <v>-3990</v>
      </c>
      <c r="E38" s="114">
        <f t="shared" si="17"/>
        <v>-3979.9</v>
      </c>
      <c r="F38" s="114">
        <f t="shared" si="17"/>
        <v>-18969.699000000001</v>
      </c>
      <c r="G38" s="114">
        <f t="shared" si="17"/>
        <v>-18959.395990000001</v>
      </c>
      <c r="H38" s="114">
        <f t="shared" si="17"/>
        <v>-18948.989949899998</v>
      </c>
      <c r="I38" s="114">
        <f t="shared" si="17"/>
        <v>-18938.479849399002</v>
      </c>
      <c r="J38" s="114">
        <f t="shared" si="17"/>
        <v>-18927.864647892991</v>
      </c>
      <c r="K38" s="114">
        <f t="shared" si="17"/>
        <v>-18917.143294371919</v>
      </c>
      <c r="L38" s="114">
        <f t="shared" si="17"/>
        <v>-18906.314727315639</v>
      </c>
      <c r="M38" s="114">
        <f t="shared" si="17"/>
        <v>-18895.377874588794</v>
      </c>
      <c r="N38" s="114">
        <f t="shared" si="17"/>
        <v>-18884.331653334684</v>
      </c>
    </row>
    <row r="39" spans="1:14" outlineLevel="1" x14ac:dyDescent="0.25">
      <c r="A39" s="244" t="s">
        <v>121</v>
      </c>
      <c r="B39" s="244"/>
      <c r="C39" s="114">
        <f>C38-B38</f>
        <v>-4000</v>
      </c>
      <c r="D39" s="114">
        <f t="shared" ref="D39:N39" si="18">D38-C38</f>
        <v>10</v>
      </c>
      <c r="E39" s="114">
        <f t="shared" si="18"/>
        <v>10.099999999999909</v>
      </c>
      <c r="F39" s="114">
        <f t="shared" si="18"/>
        <v>-14989.799000000001</v>
      </c>
      <c r="G39" s="114">
        <f t="shared" si="18"/>
        <v>10.303009999999631</v>
      </c>
      <c r="H39" s="114">
        <f t="shared" si="18"/>
        <v>10.406040100002429</v>
      </c>
      <c r="I39" s="114">
        <f t="shared" si="18"/>
        <v>10.510100500996487</v>
      </c>
      <c r="J39" s="114">
        <f t="shared" si="18"/>
        <v>10.615201506010635</v>
      </c>
      <c r="K39" s="114">
        <f t="shared" si="18"/>
        <v>10.72135352107216</v>
      </c>
      <c r="L39" s="114">
        <f t="shared" si="18"/>
        <v>10.828567056280008</v>
      </c>
      <c r="M39" s="114">
        <f t="shared" si="18"/>
        <v>10.936852726845245</v>
      </c>
      <c r="N39" s="114">
        <f t="shared" si="18"/>
        <v>11.046221254109696</v>
      </c>
    </row>
    <row r="40" spans="1:14" outlineLevel="1" x14ac:dyDescent="0.25"/>
    <row r="41" spans="1:14" outlineLevel="1" x14ac:dyDescent="0.25">
      <c r="A41" s="243" t="s">
        <v>122</v>
      </c>
      <c r="B41" s="244"/>
    </row>
    <row r="42" spans="1:14" outlineLevel="1" x14ac:dyDescent="0.25">
      <c r="A42" s="244" t="s">
        <v>123</v>
      </c>
      <c r="B42" s="244"/>
      <c r="C42" s="124">
        <v>20000</v>
      </c>
      <c r="D42" s="114">
        <f>C45</f>
        <v>29800</v>
      </c>
      <c r="E42" s="114">
        <f>D45</f>
        <v>39600</v>
      </c>
      <c r="F42" s="114">
        <f t="shared" ref="F42:N42" si="19">E45</f>
        <v>49400</v>
      </c>
      <c r="G42" s="114">
        <f t="shared" si="19"/>
        <v>58775</v>
      </c>
      <c r="H42" s="114">
        <f t="shared" si="19"/>
        <v>68150</v>
      </c>
      <c r="I42" s="114">
        <f t="shared" si="19"/>
        <v>77525</v>
      </c>
      <c r="J42" s="114">
        <f t="shared" si="19"/>
        <v>86900</v>
      </c>
      <c r="K42" s="114">
        <f t="shared" si="19"/>
        <v>96275</v>
      </c>
      <c r="L42" s="114">
        <f t="shared" si="19"/>
        <v>105650</v>
      </c>
      <c r="M42" s="114">
        <f t="shared" si="19"/>
        <v>115025</v>
      </c>
      <c r="N42" s="114">
        <f t="shared" si="19"/>
        <v>124400</v>
      </c>
    </row>
    <row r="43" spans="1:14" outlineLevel="1" x14ac:dyDescent="0.25">
      <c r="A43" s="244" t="s">
        <v>124</v>
      </c>
      <c r="B43" s="244"/>
      <c r="C43" s="124">
        <v>10000</v>
      </c>
      <c r="D43" s="114">
        <f>C43</f>
        <v>10000</v>
      </c>
      <c r="E43" s="114">
        <f>D43</f>
        <v>10000</v>
      </c>
      <c r="F43" s="114">
        <f t="shared" ref="F43:N43" si="20">E43</f>
        <v>10000</v>
      </c>
      <c r="G43" s="114">
        <f t="shared" si="20"/>
        <v>10000</v>
      </c>
      <c r="H43" s="114">
        <f t="shared" si="20"/>
        <v>10000</v>
      </c>
      <c r="I43" s="114">
        <f t="shared" si="20"/>
        <v>10000</v>
      </c>
      <c r="J43" s="114">
        <f t="shared" si="20"/>
        <v>10000</v>
      </c>
      <c r="K43" s="114">
        <f t="shared" si="20"/>
        <v>10000</v>
      </c>
      <c r="L43" s="114">
        <f t="shared" si="20"/>
        <v>10000</v>
      </c>
      <c r="M43" s="114">
        <f t="shared" si="20"/>
        <v>10000</v>
      </c>
      <c r="N43" s="114">
        <f t="shared" si="20"/>
        <v>10000</v>
      </c>
    </row>
    <row r="44" spans="1:14" outlineLevel="1" x14ac:dyDescent="0.25">
      <c r="A44" s="245" t="s">
        <v>125</v>
      </c>
      <c r="B44" s="245"/>
      <c r="C44" s="273">
        <f>'Income Statement 2020'!C9</f>
        <v>200</v>
      </c>
      <c r="D44" s="273">
        <f>'Income Statement 2020'!D9</f>
        <v>200</v>
      </c>
      <c r="E44" s="273">
        <f>'Income Statement 2020'!E9</f>
        <v>200</v>
      </c>
      <c r="F44" s="273">
        <f>'Income Statement 2020'!F9</f>
        <v>625</v>
      </c>
      <c r="G44" s="273">
        <f>'Income Statement 2020'!G9</f>
        <v>625</v>
      </c>
      <c r="H44" s="273">
        <f>'Income Statement 2020'!H9</f>
        <v>625</v>
      </c>
      <c r="I44" s="273">
        <f>'Income Statement 2020'!I9</f>
        <v>625</v>
      </c>
      <c r="J44" s="273">
        <f>'Income Statement 2020'!J9</f>
        <v>625</v>
      </c>
      <c r="K44" s="273">
        <f>'Income Statement 2020'!K9</f>
        <v>625</v>
      </c>
      <c r="L44" s="273">
        <f>'Income Statement 2020'!L9</f>
        <v>625</v>
      </c>
      <c r="M44" s="273">
        <f>'Income Statement 2020'!M9</f>
        <v>625</v>
      </c>
      <c r="N44" s="273">
        <f>'Income Statement 2020'!N9</f>
        <v>625</v>
      </c>
    </row>
    <row r="45" spans="1:14" outlineLevel="1" x14ac:dyDescent="0.25">
      <c r="A45" s="244" t="s">
        <v>126</v>
      </c>
      <c r="B45" s="244"/>
      <c r="C45" s="114">
        <f>C42+C43-C44</f>
        <v>29800</v>
      </c>
      <c r="D45" s="114">
        <f t="shared" ref="D45:G45" si="21">D42+D43-D44</f>
        <v>39600</v>
      </c>
      <c r="E45" s="114">
        <f>E42+E43-E44</f>
        <v>49400</v>
      </c>
      <c r="F45" s="114">
        <f t="shared" si="21"/>
        <v>58775</v>
      </c>
      <c r="G45" s="114">
        <f t="shared" si="21"/>
        <v>68150</v>
      </c>
      <c r="H45" s="114">
        <f t="shared" ref="H45" si="22">H42+H43-H44</f>
        <v>77525</v>
      </c>
      <c r="I45" s="114">
        <f t="shared" ref="I45" si="23">I42+I43-I44</f>
        <v>86900</v>
      </c>
      <c r="J45" s="114">
        <f t="shared" ref="J45" si="24">J42+J43-J44</f>
        <v>96275</v>
      </c>
      <c r="K45" s="114">
        <f t="shared" ref="K45" si="25">K42+K43-K44</f>
        <v>105650</v>
      </c>
      <c r="L45" s="114">
        <f t="shared" ref="L45" si="26">L42+L43-L44</f>
        <v>115025</v>
      </c>
      <c r="M45" s="114">
        <f t="shared" ref="M45" si="27">M42+M43-M44</f>
        <v>124400</v>
      </c>
      <c r="N45" s="114">
        <f t="shared" ref="N45" si="28">N42+N43-N44</f>
        <v>133775</v>
      </c>
    </row>
    <row r="46" spans="1:14" outlineLevel="1" x14ac:dyDescent="0.25"/>
    <row r="47" spans="1:14" outlineLevel="1" x14ac:dyDescent="0.25">
      <c r="A47" s="243" t="s">
        <v>127</v>
      </c>
      <c r="B47" s="244"/>
    </row>
    <row r="48" spans="1:14" outlineLevel="1" x14ac:dyDescent="0.25">
      <c r="A48" s="244" t="s">
        <v>128</v>
      </c>
      <c r="B48" s="244"/>
      <c r="C48" s="124">
        <v>300000</v>
      </c>
      <c r="D48" s="114">
        <f>C50</f>
        <v>300000</v>
      </c>
      <c r="E48" s="114">
        <f t="shared" ref="E48:N48" si="29">D50</f>
        <v>300000</v>
      </c>
      <c r="F48" s="114">
        <f t="shared" si="29"/>
        <v>300000</v>
      </c>
      <c r="G48" s="114">
        <f t="shared" si="29"/>
        <v>300000</v>
      </c>
      <c r="H48" s="114">
        <f t="shared" si="29"/>
        <v>300000</v>
      </c>
      <c r="I48" s="114">
        <f t="shared" si="29"/>
        <v>300000</v>
      </c>
      <c r="J48" s="114">
        <f t="shared" si="29"/>
        <v>300000</v>
      </c>
      <c r="K48" s="114">
        <f t="shared" si="29"/>
        <v>300000</v>
      </c>
      <c r="L48" s="114">
        <f t="shared" si="29"/>
        <v>300000</v>
      </c>
      <c r="M48" s="114">
        <f t="shared" si="29"/>
        <v>300000</v>
      </c>
      <c r="N48" s="114">
        <f t="shared" si="29"/>
        <v>300000</v>
      </c>
    </row>
    <row r="49" spans="1:14" outlineLevel="1" x14ac:dyDescent="0.25">
      <c r="A49" s="245" t="s">
        <v>129</v>
      </c>
      <c r="B49" s="245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</row>
    <row r="50" spans="1:14" outlineLevel="1" x14ac:dyDescent="0.25">
      <c r="A50" s="244" t="s">
        <v>130</v>
      </c>
      <c r="B50" s="244"/>
      <c r="C50" s="114">
        <f>SUM(C48:C49)</f>
        <v>300000</v>
      </c>
      <c r="D50" s="114">
        <f>SUM(D48:D49)</f>
        <v>300000</v>
      </c>
      <c r="E50" s="114">
        <f t="shared" ref="E50:G50" si="30">SUM(E48:E49)</f>
        <v>300000</v>
      </c>
      <c r="F50" s="114">
        <f t="shared" si="30"/>
        <v>300000</v>
      </c>
      <c r="G50" s="114">
        <f t="shared" si="30"/>
        <v>300000</v>
      </c>
      <c r="H50" s="114">
        <f t="shared" ref="H50" si="31">SUM(H48:H49)</f>
        <v>300000</v>
      </c>
      <c r="I50" s="114">
        <f t="shared" ref="I50" si="32">SUM(I48:I49)</f>
        <v>300000</v>
      </c>
      <c r="J50" s="114">
        <f t="shared" ref="J50" si="33">SUM(J48:J49)</f>
        <v>300000</v>
      </c>
      <c r="K50" s="114">
        <f t="shared" ref="K50" si="34">SUM(K48:K49)</f>
        <v>300000</v>
      </c>
      <c r="L50" s="114">
        <f t="shared" ref="L50" si="35">SUM(L48:L49)</f>
        <v>300000</v>
      </c>
      <c r="M50" s="114">
        <f t="shared" ref="M50" si="36">SUM(M48:M49)</f>
        <v>300000</v>
      </c>
      <c r="N50" s="114">
        <f t="shared" ref="N50" si="37">SUM(N48:N49)</f>
        <v>300000</v>
      </c>
    </row>
    <row r="51" spans="1:14" outlineLevel="1" x14ac:dyDescent="0.25">
      <c r="A51" s="244" t="s">
        <v>69</v>
      </c>
      <c r="B51" s="244"/>
      <c r="C51" s="272">
        <f>'Operating Expenses 2020'!C46</f>
        <v>452.55</v>
      </c>
      <c r="D51" s="272">
        <f>'Operating Expenses 2020'!D46</f>
        <v>457.82099999999997</v>
      </c>
      <c r="E51" s="272">
        <f>'Operating Expenses 2020'!E46</f>
        <v>756.60437999999999</v>
      </c>
      <c r="F51" s="272">
        <f>'Operating Expenses 2020'!F46</f>
        <v>225.42146759999997</v>
      </c>
      <c r="G51" s="272">
        <f>'Operating Expenses 2020'!G46</f>
        <v>228.51869695200003</v>
      </c>
      <c r="H51" s="272">
        <f>'Operating Expenses 2020'!H46</f>
        <v>1363.7731288910402</v>
      </c>
      <c r="I51" s="272">
        <f>'Operating Expenses 2020'!I46</f>
        <v>2422.0021034488605</v>
      </c>
      <c r="J51" s="272">
        <f>'Operating Expenses 2020'!J46</f>
        <v>2592.0384070710379</v>
      </c>
      <c r="K51" s="272">
        <f>'Operating Expenses 2020'!K46</f>
        <v>2801.0127515181921</v>
      </c>
      <c r="L51" s="272">
        <f>'Operating Expenses 2020'!L46</f>
        <v>3060.2969125684604</v>
      </c>
      <c r="M51" s="272">
        <f>'Operating Expenses 2020'!M46</f>
        <v>3384.6655849195772</v>
      </c>
      <c r="N51" s="272">
        <f>'Operating Expenses 2020'!N46</f>
        <v>3793.3170091989491</v>
      </c>
    </row>
    <row r="52" spans="1:14" outlineLevel="1" x14ac:dyDescent="0.25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/>
  </sheetPr>
  <dimension ref="A1:N63"/>
  <sheetViews>
    <sheetView showGridLines="0" zoomScale="137" zoomScaleNormal="90" workbookViewId="0">
      <pane ySplit="2" topLeftCell="A3" activePane="bottomLeft" state="frozen"/>
      <selection activeCell="C24" sqref="C24"/>
      <selection pane="bottomLeft" activeCell="H41" sqref="H41"/>
    </sheetView>
  </sheetViews>
  <sheetFormatPr baseColWidth="10" defaultColWidth="9.1640625" defaultRowHeight="16" outlineLevelRow="1" x14ac:dyDescent="0.25"/>
  <cols>
    <col min="1" max="1" width="30.33203125" style="1" customWidth="1"/>
    <col min="2" max="2" width="9.1640625" style="1"/>
    <col min="3" max="3" width="13.33203125" style="1" bestFit="1" customWidth="1"/>
    <col min="4" max="4" width="14.83203125" style="1" bestFit="1" customWidth="1"/>
    <col min="5" max="7" width="15.83203125" style="1" bestFit="1" customWidth="1"/>
    <col min="8" max="9" width="9.1640625" style="1"/>
    <col min="10" max="10" width="13.83203125" style="1" bestFit="1" customWidth="1"/>
    <col min="11" max="16384" width="9.1640625" style="1"/>
  </cols>
  <sheetData>
    <row r="1" spans="1:14" s="4" customFormat="1" x14ac:dyDescent="0.25">
      <c r="A1" s="52" t="str">
        <f>"Balance Sheet - "&amp;C2&amp;"-"&amp;G2</f>
        <v>Balance Sheet - 2020-2024</v>
      </c>
      <c r="C1" s="49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4" s="4" customFormat="1" x14ac:dyDescent="0.25">
      <c r="A2" s="51"/>
      <c r="B2" s="3"/>
      <c r="C2" s="48">
        <v>2020</v>
      </c>
      <c r="D2" s="48">
        <f>C2+1</f>
        <v>2021</v>
      </c>
      <c r="E2" s="48">
        <f t="shared" ref="E2:G2" si="0">D2+1</f>
        <v>2022</v>
      </c>
      <c r="F2" s="48">
        <f t="shared" si="0"/>
        <v>2023</v>
      </c>
      <c r="G2" s="48">
        <f t="shared" si="0"/>
        <v>2024</v>
      </c>
      <c r="H2" s="48"/>
      <c r="I2" s="48"/>
      <c r="J2" s="48"/>
      <c r="K2" s="48"/>
      <c r="L2" s="48"/>
      <c r="M2" s="48"/>
      <c r="N2" s="48"/>
    </row>
    <row r="3" spans="1:14" x14ac:dyDescent="0.25">
      <c r="A3" s="9" t="s">
        <v>79</v>
      </c>
      <c r="B3" s="54"/>
      <c r="C3" s="9"/>
      <c r="D3" s="9"/>
      <c r="E3" s="9"/>
      <c r="F3" s="9"/>
      <c r="G3" s="9"/>
    </row>
    <row r="4" spans="1:14" outlineLevel="1" x14ac:dyDescent="0.25">
      <c r="A4" s="244" t="s">
        <v>106</v>
      </c>
      <c r="B4" s="244"/>
      <c r="C4" s="280">
        <f>IFERROR(C18/'Income Statement 2020-2024'!C4*365,0)</f>
        <v>0</v>
      </c>
      <c r="D4" s="280">
        <f>C4</f>
        <v>0</v>
      </c>
      <c r="E4" s="280">
        <f t="shared" ref="E4:G4" si="1">D4</f>
        <v>0</v>
      </c>
      <c r="F4" s="280">
        <f t="shared" si="1"/>
        <v>0</v>
      </c>
      <c r="G4" s="280">
        <f t="shared" si="1"/>
        <v>0</v>
      </c>
    </row>
    <row r="5" spans="1:14" outlineLevel="1" x14ac:dyDescent="0.25">
      <c r="A5" s="244" t="s">
        <v>107</v>
      </c>
      <c r="B5" s="244"/>
      <c r="C5" s="280">
        <f>IFERROR(C20/'Income Statement 2020-2024'!C5*365,0)</f>
        <v>9.0324493508304613</v>
      </c>
      <c r="D5" s="280">
        <f t="shared" ref="D5:G5" si="2">C5</f>
        <v>9.0324493508304613</v>
      </c>
      <c r="E5" s="280">
        <f t="shared" si="2"/>
        <v>9.0324493508304613</v>
      </c>
      <c r="F5" s="280">
        <f t="shared" si="2"/>
        <v>9.0324493508304613</v>
      </c>
      <c r="G5" s="280">
        <f t="shared" si="2"/>
        <v>9.0324493508304613</v>
      </c>
    </row>
    <row r="6" spans="1:14" outlineLevel="1" x14ac:dyDescent="0.25">
      <c r="A6" s="244" t="s">
        <v>108</v>
      </c>
      <c r="B6" s="244"/>
      <c r="C6" s="280">
        <f>IFERROR(C29/'Income Statement 2020-2024'!C5*365,0)</f>
        <v>161.91997160855294</v>
      </c>
      <c r="D6" s="280">
        <f t="shared" ref="D6:G7" si="3">C6</f>
        <v>161.91997160855294</v>
      </c>
      <c r="E6" s="280">
        <f t="shared" si="3"/>
        <v>161.91997160855294</v>
      </c>
      <c r="F6" s="280">
        <f t="shared" si="3"/>
        <v>161.91997160855294</v>
      </c>
      <c r="G6" s="280">
        <f t="shared" si="3"/>
        <v>161.91997160855294</v>
      </c>
    </row>
    <row r="7" spans="1:14" outlineLevel="1" x14ac:dyDescent="0.25">
      <c r="A7" s="244" t="s">
        <v>111</v>
      </c>
      <c r="B7" s="244"/>
      <c r="C7" s="280">
        <f>C55</f>
        <v>120000</v>
      </c>
      <c r="D7" s="274">
        <f>C7</f>
        <v>120000</v>
      </c>
      <c r="E7" s="274">
        <f t="shared" si="3"/>
        <v>120000</v>
      </c>
      <c r="F7" s="274">
        <f t="shared" si="3"/>
        <v>120000</v>
      </c>
      <c r="G7" s="274">
        <f t="shared" si="3"/>
        <v>120000</v>
      </c>
    </row>
    <row r="8" spans="1:14" outlineLevel="1" x14ac:dyDescent="0.25">
      <c r="A8" s="244" t="s">
        <v>109</v>
      </c>
      <c r="B8" s="244"/>
      <c r="C8" s="280">
        <f>C61</f>
        <v>0</v>
      </c>
      <c r="D8" s="124">
        <v>0</v>
      </c>
      <c r="E8" s="124">
        <v>0</v>
      </c>
      <c r="F8" s="124">
        <v>0</v>
      </c>
      <c r="G8" s="124">
        <v>0</v>
      </c>
    </row>
    <row r="9" spans="1:14" outlineLevel="1" x14ac:dyDescent="0.25">
      <c r="A9" s="244" t="s">
        <v>110</v>
      </c>
      <c r="B9" s="244"/>
      <c r="C9" s="124"/>
      <c r="D9" s="124"/>
      <c r="E9" s="124"/>
      <c r="F9" s="124"/>
      <c r="G9" s="124"/>
      <c r="H9" s="1" t="s">
        <v>420</v>
      </c>
      <c r="J9" s="289">
        <v>0.1</v>
      </c>
      <c r="K9" s="1" t="s">
        <v>421</v>
      </c>
    </row>
    <row r="10" spans="1:14" outlineLevel="1" x14ac:dyDescent="0.25">
      <c r="A10" s="244" t="s">
        <v>134</v>
      </c>
      <c r="B10" s="244"/>
      <c r="C10" s="82"/>
      <c r="D10" s="94">
        <v>0.02</v>
      </c>
      <c r="E10" s="94">
        <v>0.02</v>
      </c>
      <c r="F10" s="94">
        <v>0.02</v>
      </c>
      <c r="G10" s="94">
        <v>0.02</v>
      </c>
      <c r="H10" s="1" t="s">
        <v>423</v>
      </c>
      <c r="J10" s="232">
        <v>45000</v>
      </c>
    </row>
    <row r="11" spans="1:14" outlineLevel="1" x14ac:dyDescent="0.25">
      <c r="A11" s="244" t="s">
        <v>135</v>
      </c>
      <c r="B11" s="244"/>
      <c r="C11" s="82"/>
      <c r="D11" s="94">
        <v>0.01</v>
      </c>
      <c r="E11" s="94">
        <v>0.01</v>
      </c>
      <c r="F11" s="94">
        <v>0.01</v>
      </c>
      <c r="G11" s="94">
        <v>0.01</v>
      </c>
    </row>
    <row r="12" spans="1:14" outlineLevel="1" x14ac:dyDescent="0.25">
      <c r="C12" s="55"/>
      <c r="D12" s="55"/>
      <c r="E12" s="55"/>
      <c r="F12" s="55"/>
      <c r="G12" s="55"/>
    </row>
    <row r="14" spans="1:14" x14ac:dyDescent="0.25">
      <c r="A14" s="9" t="s">
        <v>84</v>
      </c>
      <c r="B14" s="54"/>
      <c r="C14" s="9"/>
      <c r="D14" s="9"/>
      <c r="E14" s="9"/>
      <c r="F14" s="9"/>
      <c r="G14" s="9"/>
    </row>
    <row r="15" spans="1:14" outlineLevel="1" x14ac:dyDescent="0.25">
      <c r="A15" s="253" t="s">
        <v>85</v>
      </c>
      <c r="B15" s="259"/>
      <c r="C15" s="67"/>
      <c r="D15" s="67"/>
      <c r="E15" s="67"/>
      <c r="F15" s="67"/>
      <c r="G15" s="74"/>
      <c r="H15" s="74"/>
      <c r="I15" s="74"/>
      <c r="J15" s="74"/>
      <c r="K15" s="74"/>
      <c r="L15" s="74"/>
    </row>
    <row r="16" spans="1:14" outlineLevel="1" x14ac:dyDescent="0.25">
      <c r="A16" s="255" t="s">
        <v>86</v>
      </c>
      <c r="B16" s="259"/>
      <c r="C16" s="72"/>
      <c r="D16" s="72"/>
      <c r="E16" s="72"/>
      <c r="F16" s="72"/>
      <c r="G16" s="75"/>
      <c r="H16" s="74"/>
      <c r="I16" s="74"/>
      <c r="J16" s="74"/>
      <c r="K16" s="74"/>
      <c r="L16" s="74"/>
    </row>
    <row r="17" spans="1:12" outlineLevel="1" x14ac:dyDescent="0.25">
      <c r="A17" s="256" t="s">
        <v>87</v>
      </c>
      <c r="B17" s="259"/>
      <c r="C17" s="274">
        <f>'Cash Flow Statement 2020-2024'!C21</f>
        <v>12862008.519544929</v>
      </c>
      <c r="D17" s="274">
        <f>'Cash Flow Statement 2020-2024'!D21</f>
        <v>6539306.033419461</v>
      </c>
      <c r="E17" s="274">
        <f>'Cash Flow Statement 2020-2024'!E21</f>
        <v>6042162.7097329348</v>
      </c>
      <c r="F17" s="274">
        <f>'Cash Flow Statement 2020-2024'!F21</f>
        <v>23374290.710606299</v>
      </c>
      <c r="G17" s="274">
        <f>'Cash Flow Statement 2020-2024'!G21</f>
        <v>114043007.90837175</v>
      </c>
      <c r="H17" s="74"/>
      <c r="I17" s="74"/>
      <c r="J17" s="74"/>
      <c r="K17" s="74"/>
      <c r="L17" s="74"/>
    </row>
    <row r="18" spans="1:12" outlineLevel="1" x14ac:dyDescent="0.25">
      <c r="A18" s="256" t="s">
        <v>88</v>
      </c>
      <c r="B18" s="259"/>
      <c r="C18" s="274">
        <f>'Balance Sheet 2020'!N7</f>
        <v>0</v>
      </c>
      <c r="D18" s="274">
        <f>'Income Statement 2020-2024'!D4*'Balance Sheet 2020-2024'!D4/365</f>
        <v>0</v>
      </c>
      <c r="E18" s="274">
        <f>'Income Statement 2020-2024'!E4*'Balance Sheet 2020-2024'!E4/365</f>
        <v>0</v>
      </c>
      <c r="F18" s="274">
        <f>'Income Statement 2020-2024'!F4*'Balance Sheet 2020-2024'!F4/365</f>
        <v>0</v>
      </c>
      <c r="G18" s="274">
        <f>'Income Statement 2020-2024'!G4*'Balance Sheet 2020-2024'!G4/365</f>
        <v>0</v>
      </c>
      <c r="H18" s="74"/>
      <c r="I18" s="74"/>
      <c r="J18" s="74"/>
      <c r="K18" s="74"/>
      <c r="L18" s="74"/>
    </row>
    <row r="19" spans="1:12" outlineLevel="1" x14ac:dyDescent="0.25">
      <c r="A19" s="256" t="s">
        <v>89</v>
      </c>
      <c r="B19" s="259"/>
      <c r="C19" s="274">
        <f>'Balance Sheet 2020'!N8</f>
        <v>0</v>
      </c>
      <c r="D19" s="274">
        <f>C19*(1+D10)</f>
        <v>0</v>
      </c>
      <c r="E19" s="274">
        <f>D19*(1+E10)</f>
        <v>0</v>
      </c>
      <c r="F19" s="274">
        <f>E19*(1+F10)</f>
        <v>0</v>
      </c>
      <c r="G19" s="274">
        <f>F19*(1+G10)</f>
        <v>0</v>
      </c>
      <c r="H19" s="74"/>
      <c r="I19" s="74"/>
      <c r="J19" s="74"/>
      <c r="K19" s="74"/>
      <c r="L19" s="74"/>
    </row>
    <row r="20" spans="1:12" outlineLevel="1" x14ac:dyDescent="0.25">
      <c r="A20" s="257" t="s">
        <v>90</v>
      </c>
      <c r="B20" s="270"/>
      <c r="C20" s="278">
        <f>'Balance Sheet 2020'!N9</f>
        <v>1115.6683466653164</v>
      </c>
      <c r="D20" s="278">
        <f>'Income Statement 2020-2024'!D5*'Balance Sheet 2020-2024'!D5/365</f>
        <v>19851.690166139135</v>
      </c>
      <c r="E20" s="278">
        <f>'Income Statement 2020-2024'!E5*'Balance Sheet 2020-2024'!E5/365</f>
        <v>91812.766596626985</v>
      </c>
      <c r="F20" s="278">
        <f>'Income Statement 2020-2024'!F5*'Balance Sheet 2020-2024'!F5/365</f>
        <v>272157.4038378729</v>
      </c>
      <c r="G20" s="278">
        <f>'Income Statement 2020-2024'!G5*'Balance Sheet 2020-2024'!G5/365</f>
        <v>911791.85620827216</v>
      </c>
      <c r="H20" s="74"/>
      <c r="I20" s="74"/>
      <c r="J20" s="74"/>
      <c r="K20" s="74"/>
      <c r="L20" s="74"/>
    </row>
    <row r="21" spans="1:12" outlineLevel="1" x14ac:dyDescent="0.25">
      <c r="A21" s="256" t="s">
        <v>91</v>
      </c>
      <c r="B21" s="259"/>
      <c r="C21" s="274">
        <f>SUM(C17:C20)</f>
        <v>12863124.187891595</v>
      </c>
      <c r="D21" s="274">
        <f>SUM(D17:D20)</f>
        <v>6559157.7235856</v>
      </c>
      <c r="E21" s="274">
        <f>SUM(E17:E20)</f>
        <v>6133975.4763295623</v>
      </c>
      <c r="F21" s="274">
        <f>SUM(F17:F20)</f>
        <v>23646448.114444174</v>
      </c>
      <c r="G21" s="274">
        <f>SUM(G17:G20)</f>
        <v>114954799.76458001</v>
      </c>
      <c r="H21" s="74"/>
      <c r="I21" s="74"/>
      <c r="J21" s="74"/>
      <c r="K21" s="74"/>
      <c r="L21" s="74"/>
    </row>
    <row r="22" spans="1:12" outlineLevel="1" x14ac:dyDescent="0.25">
      <c r="A22" s="68"/>
      <c r="B22" s="72"/>
      <c r="C22" s="274"/>
      <c r="D22" s="274"/>
      <c r="E22" s="274"/>
      <c r="F22" s="274"/>
      <c r="G22" s="274"/>
      <c r="H22" s="74"/>
      <c r="I22" s="74"/>
      <c r="J22" s="74"/>
      <c r="K22" s="74"/>
      <c r="L22" s="74"/>
    </row>
    <row r="23" spans="1:12" outlineLevel="1" x14ac:dyDescent="0.25">
      <c r="A23" s="260" t="s">
        <v>92</v>
      </c>
      <c r="B23" s="259"/>
      <c r="C23" s="274">
        <f>C57</f>
        <v>133775</v>
      </c>
      <c r="D23" s="274">
        <f t="shared" ref="D23:G23" si="4">D57</f>
        <v>253573.20041250001</v>
      </c>
      <c r="E23" s="274">
        <f t="shared" si="4"/>
        <v>373190.68523967772</v>
      </c>
      <c r="F23" s="274">
        <f t="shared" si="4"/>
        <v>492627.72709099366</v>
      </c>
      <c r="G23" s="274">
        <f t="shared" si="4"/>
        <v>611884.59816467692</v>
      </c>
      <c r="H23" s="74"/>
      <c r="I23" s="74"/>
      <c r="J23" s="74"/>
      <c r="K23" s="74"/>
      <c r="L23" s="74"/>
    </row>
    <row r="24" spans="1:12" outlineLevel="1" x14ac:dyDescent="0.25">
      <c r="A24" s="260" t="s">
        <v>633</v>
      </c>
      <c r="B24" s="259"/>
      <c r="C24" s="274">
        <f>'WEBSITES AUDIENCE'!M61*$H$24</f>
        <v>400361.94123791961</v>
      </c>
      <c r="D24" s="274">
        <f>'WEBSITES AUDIENCE'!M72*'Balance Sheet 2020-2024'!H24</f>
        <v>8102439.212765824</v>
      </c>
      <c r="E24" s="274">
        <f>'WEBSITES AUDIENCE'!M77*'Balance Sheet 2020-2024'!H24</f>
        <v>24144600.260691129</v>
      </c>
      <c r="F24" s="274">
        <f>'WEBSITES AUDIENCE'!M82*H24</f>
        <v>50196040.462938108</v>
      </c>
      <c r="G24" s="274">
        <f>'WEBSITES AUDIENCE'!M87*H24</f>
        <v>90221029.396563917</v>
      </c>
      <c r="H24" s="232">
        <v>0.5</v>
      </c>
      <c r="I24" s="74" t="s">
        <v>634</v>
      </c>
      <c r="J24" s="74"/>
      <c r="K24" s="74"/>
      <c r="L24" s="74"/>
    </row>
    <row r="25" spans="1:12" ht="17" outlineLevel="1" thickBot="1" x14ac:dyDescent="0.3">
      <c r="A25" s="261" t="s">
        <v>93</v>
      </c>
      <c r="B25" s="262"/>
      <c r="C25" s="279">
        <f>SUM(C21:C24)</f>
        <v>13397261.129129514</v>
      </c>
      <c r="D25" s="279">
        <f t="shared" ref="D25:G25" si="5">SUM(D21:D24)</f>
        <v>14915170.136763923</v>
      </c>
      <c r="E25" s="279">
        <f t="shared" si="5"/>
        <v>30651766.422260366</v>
      </c>
      <c r="F25" s="279">
        <f t="shared" si="5"/>
        <v>74335116.304473281</v>
      </c>
      <c r="G25" s="279">
        <f t="shared" si="5"/>
        <v>205787713.75930861</v>
      </c>
      <c r="H25" s="74"/>
      <c r="I25" s="74"/>
      <c r="J25" s="74"/>
      <c r="K25" s="74"/>
      <c r="L25" s="74"/>
    </row>
    <row r="26" spans="1:12" ht="17" outlineLevel="1" thickTop="1" x14ac:dyDescent="0.25">
      <c r="A26" s="69"/>
      <c r="B26" s="73"/>
      <c r="C26" s="88"/>
      <c r="D26" s="88"/>
      <c r="E26" s="88"/>
      <c r="F26" s="88"/>
      <c r="G26" s="88"/>
      <c r="H26" s="74"/>
      <c r="I26" s="74"/>
      <c r="J26" s="74"/>
      <c r="K26" s="74"/>
      <c r="L26" s="74"/>
    </row>
    <row r="27" spans="1:12" outlineLevel="1" x14ac:dyDescent="0.25">
      <c r="A27" s="253" t="s">
        <v>94</v>
      </c>
      <c r="B27" s="259"/>
      <c r="C27" s="87"/>
      <c r="D27" s="87"/>
      <c r="E27" s="87"/>
      <c r="F27" s="87"/>
      <c r="G27" s="87"/>
      <c r="H27" s="74"/>
      <c r="I27" s="74"/>
      <c r="J27" s="74"/>
      <c r="K27" s="74"/>
      <c r="L27" s="74"/>
    </row>
    <row r="28" spans="1:12" outlineLevel="1" x14ac:dyDescent="0.25">
      <c r="A28" s="255" t="s">
        <v>95</v>
      </c>
      <c r="B28" s="259"/>
      <c r="C28" s="87"/>
      <c r="D28" s="87"/>
      <c r="E28" s="87"/>
      <c r="F28" s="87"/>
      <c r="G28" s="87"/>
      <c r="H28" s="74"/>
      <c r="I28" s="74"/>
      <c r="J28" s="74"/>
      <c r="K28" s="74"/>
      <c r="L28" s="74"/>
    </row>
    <row r="29" spans="1:12" outlineLevel="1" x14ac:dyDescent="0.25">
      <c r="A29" s="256" t="s">
        <v>96</v>
      </c>
      <c r="B29" s="259"/>
      <c r="C29" s="274">
        <f>'Balance Sheet 2020'!N17</f>
        <v>20000</v>
      </c>
      <c r="D29" s="274">
        <f>'Income Statement 2020-2024'!D5*'Balance Sheet 2020-2024'!D6/365</f>
        <v>355870.8145745098</v>
      </c>
      <c r="E29" s="274">
        <f>'Income Statement 2020-2024'!E5*'Balance Sheet 2020-2024'!E6/365</f>
        <v>1645879.2054296657</v>
      </c>
      <c r="F29" s="274">
        <f>'Income Statement 2020-2024'!F5*'Balance Sheet 2020-2024'!F6/365</f>
        <v>4878822.7191591375</v>
      </c>
      <c r="G29" s="274">
        <f>'Income Statement 2020-2024'!G5*'Balance Sheet 2020-2024'!G6/365</f>
        <v>16345213.323181177</v>
      </c>
      <c r="H29" s="74"/>
      <c r="I29" s="74"/>
      <c r="J29" s="74"/>
      <c r="K29" s="74"/>
      <c r="L29" s="74"/>
    </row>
    <row r="30" spans="1:12" outlineLevel="1" x14ac:dyDescent="0.25">
      <c r="A30" s="257" t="s">
        <v>97</v>
      </c>
      <c r="B30" s="270"/>
      <c r="C30" s="278">
        <f>'Balance Sheet 2020'!N18</f>
        <v>9483.2925229973735</v>
      </c>
      <c r="D30" s="278">
        <f>C30*(1+D11)</f>
        <v>9578.1254482273471</v>
      </c>
      <c r="E30" s="278">
        <f>D30*(1+E11)</f>
        <v>9673.9067027096207</v>
      </c>
      <c r="F30" s="278">
        <f>E30*(1+F11)</f>
        <v>9770.6457697367168</v>
      </c>
      <c r="G30" s="278">
        <f>F30*(1+G11)</f>
        <v>9868.3522274340849</v>
      </c>
      <c r="H30" s="74"/>
      <c r="I30" s="74"/>
      <c r="J30" s="74"/>
      <c r="K30" s="74"/>
      <c r="L30" s="74"/>
    </row>
    <row r="31" spans="1:12" outlineLevel="1" x14ac:dyDescent="0.25">
      <c r="A31" s="256" t="s">
        <v>98</v>
      </c>
      <c r="B31" s="259"/>
      <c r="C31" s="274">
        <f>SUM(C29:C30)</f>
        <v>29483.292522997373</v>
      </c>
      <c r="D31" s="274">
        <f>SUM(D29:D30)</f>
        <v>365448.94002273714</v>
      </c>
      <c r="E31" s="274">
        <f>SUM(E29:E30)</f>
        <v>1655553.1121323754</v>
      </c>
      <c r="F31" s="274">
        <f>SUM(F29:F30)</f>
        <v>4888593.3649288742</v>
      </c>
      <c r="G31" s="274">
        <f>SUM(G29:G30)</f>
        <v>16355081.675408611</v>
      </c>
      <c r="H31" s="74"/>
      <c r="I31" s="74"/>
      <c r="J31" s="74"/>
      <c r="K31" s="74"/>
      <c r="L31" s="74"/>
    </row>
    <row r="32" spans="1:12" outlineLevel="1" x14ac:dyDescent="0.25">
      <c r="A32" s="256"/>
      <c r="B32" s="259"/>
      <c r="C32" s="87"/>
      <c r="D32" s="87"/>
      <c r="E32" s="87"/>
      <c r="F32" s="87"/>
      <c r="G32" s="87"/>
      <c r="H32" s="74"/>
      <c r="I32" s="74"/>
      <c r="J32" s="74"/>
      <c r="K32" s="74"/>
      <c r="L32" s="74"/>
    </row>
    <row r="33" spans="1:12" outlineLevel="1" x14ac:dyDescent="0.25">
      <c r="A33" s="255" t="s">
        <v>99</v>
      </c>
      <c r="B33" s="259"/>
      <c r="C33" s="274">
        <f>C62</f>
        <v>300000</v>
      </c>
      <c r="D33" s="274">
        <f t="shared" ref="D33:G33" si="6">D62</f>
        <v>300000</v>
      </c>
      <c r="E33" s="274">
        <f t="shared" si="6"/>
        <v>300000</v>
      </c>
      <c r="F33" s="274">
        <f t="shared" si="6"/>
        <v>300000</v>
      </c>
      <c r="G33" s="274">
        <f t="shared" si="6"/>
        <v>300000</v>
      </c>
      <c r="H33" s="74"/>
      <c r="I33" s="74"/>
      <c r="J33" s="74"/>
      <c r="K33" s="74"/>
      <c r="L33" s="74"/>
    </row>
    <row r="34" spans="1:12" outlineLevel="1" x14ac:dyDescent="0.25">
      <c r="A34" s="263" t="s">
        <v>100</v>
      </c>
      <c r="B34" s="264"/>
      <c r="C34" s="277">
        <f>SUM(C31:C33)</f>
        <v>329483.29252299736</v>
      </c>
      <c r="D34" s="277">
        <f>SUM(D31:D33)</f>
        <v>665448.94002273714</v>
      </c>
      <c r="E34" s="277">
        <f>SUM(E31:E33)</f>
        <v>1955553.1121323754</v>
      </c>
      <c r="F34" s="277">
        <f>SUM(F31:F33)</f>
        <v>5188593.3649288742</v>
      </c>
      <c r="G34" s="277">
        <f>SUM(G31:G33)</f>
        <v>16655081.675408611</v>
      </c>
      <c r="H34" s="74"/>
      <c r="I34" s="74"/>
      <c r="J34" s="74"/>
      <c r="K34" s="74"/>
      <c r="L34" s="74"/>
    </row>
    <row r="35" spans="1:12" outlineLevel="1" x14ac:dyDescent="0.25">
      <c r="A35" s="69"/>
      <c r="B35" s="73"/>
      <c r="C35" s="88"/>
      <c r="D35" s="88"/>
      <c r="E35" s="88"/>
      <c r="F35" s="88"/>
      <c r="G35" s="88"/>
      <c r="H35" s="74"/>
      <c r="I35" s="74"/>
      <c r="J35" s="74"/>
      <c r="K35" s="74"/>
      <c r="L35" s="74"/>
    </row>
    <row r="36" spans="1:12" outlineLevel="1" x14ac:dyDescent="0.25">
      <c r="A36" s="253" t="s">
        <v>101</v>
      </c>
      <c r="B36" s="259"/>
      <c r="C36" s="274"/>
      <c r="D36" s="274"/>
      <c r="E36" s="274"/>
      <c r="F36" s="274"/>
      <c r="G36" s="274"/>
      <c r="H36" s="74"/>
      <c r="I36" s="74"/>
      <c r="J36" s="74"/>
      <c r="K36" s="74"/>
      <c r="L36" s="74"/>
    </row>
    <row r="37" spans="1:12" outlineLevel="1" x14ac:dyDescent="0.25">
      <c r="A37" s="255" t="s">
        <v>102</v>
      </c>
      <c r="B37" s="259"/>
      <c r="C37" s="274">
        <f>'Balance Sheet 2020'!N25</f>
        <v>0</v>
      </c>
      <c r="D37" s="274">
        <f>C37+D9</f>
        <v>0</v>
      </c>
      <c r="E37" s="274">
        <f t="shared" ref="E37:G37" si="7">D37+E9</f>
        <v>0</v>
      </c>
      <c r="F37" s="274">
        <f t="shared" si="7"/>
        <v>0</v>
      </c>
      <c r="G37" s="274">
        <f t="shared" si="7"/>
        <v>0</v>
      </c>
      <c r="H37" s="74"/>
      <c r="I37" s="74"/>
      <c r="J37" s="74"/>
      <c r="K37" s="74"/>
      <c r="L37" s="74"/>
    </row>
    <row r="38" spans="1:12" outlineLevel="1" x14ac:dyDescent="0.25">
      <c r="A38" s="255" t="s">
        <v>103</v>
      </c>
      <c r="B38" s="259"/>
      <c r="C38" s="274">
        <f>'Balance Sheet 2020'!N26</f>
        <v>0</v>
      </c>
      <c r="D38" s="274">
        <f>C38+'Income Statement 2020-2024'!D30</f>
        <v>-6520039.0784680042</v>
      </c>
      <c r="E38" s="274">
        <f>D38+'Income Statement 2020-2024'!E30</f>
        <v>-8115612.2317520212</v>
      </c>
      <c r="F38" s="274">
        <f>E38+'Income Statement 2020-2024'!F30</f>
        <v>6283353.9344844315</v>
      </c>
      <c r="G38" s="274">
        <f>F38+'Income Statement 2020-2024'!G30</f>
        <v>86244571.851671919</v>
      </c>
      <c r="H38" s="74"/>
      <c r="I38" s="74"/>
      <c r="J38" s="74"/>
      <c r="K38" s="74"/>
      <c r="L38" s="74"/>
    </row>
    <row r="39" spans="1:12" outlineLevel="1" x14ac:dyDescent="0.25">
      <c r="A39" s="265" t="s">
        <v>101</v>
      </c>
      <c r="B39" s="266"/>
      <c r="C39" s="275">
        <f t="shared" ref="C39:G39" si="8">SUM(C37:C38)</f>
        <v>0</v>
      </c>
      <c r="D39" s="275">
        <f t="shared" si="8"/>
        <v>-6520039.0784680042</v>
      </c>
      <c r="E39" s="275">
        <f t="shared" si="8"/>
        <v>-8115612.2317520212</v>
      </c>
      <c r="F39" s="275">
        <f t="shared" si="8"/>
        <v>6283353.9344844315</v>
      </c>
      <c r="G39" s="275">
        <f t="shared" si="8"/>
        <v>86244571.851671919</v>
      </c>
      <c r="H39" s="74"/>
      <c r="I39" s="74"/>
      <c r="J39" s="74"/>
      <c r="K39" s="74"/>
      <c r="L39" s="74"/>
    </row>
    <row r="40" spans="1:12" ht="17" thickBot="1" x14ac:dyDescent="0.3">
      <c r="A40" s="261" t="s">
        <v>104</v>
      </c>
      <c r="B40" s="262"/>
      <c r="C40" s="276">
        <f t="shared" ref="C40:G40" si="9">C34+C39</f>
        <v>329483.29252299736</v>
      </c>
      <c r="D40" s="276">
        <f t="shared" si="9"/>
        <v>-5854590.1384452675</v>
      </c>
      <c r="E40" s="276">
        <f t="shared" si="9"/>
        <v>-6160059.1196196461</v>
      </c>
      <c r="F40" s="276">
        <f t="shared" si="9"/>
        <v>11471947.299413305</v>
      </c>
      <c r="G40" s="276">
        <f t="shared" si="9"/>
        <v>102899653.52708054</v>
      </c>
      <c r="H40" s="74"/>
      <c r="I40" s="74"/>
      <c r="J40" s="74"/>
      <c r="K40" s="74"/>
      <c r="L40" s="74"/>
    </row>
    <row r="41" spans="1:12" ht="17" thickTop="1" x14ac:dyDescent="0.25">
      <c r="A41" s="66"/>
      <c r="B41" s="67"/>
      <c r="C41" s="67"/>
      <c r="D41" s="67"/>
      <c r="E41" s="67"/>
      <c r="F41" s="67"/>
      <c r="G41" s="67"/>
      <c r="H41" s="74"/>
      <c r="I41" s="74"/>
      <c r="J41" s="74"/>
      <c r="K41" s="74"/>
      <c r="L41" s="74"/>
    </row>
    <row r="42" spans="1:12" x14ac:dyDescent="0.25">
      <c r="A42" s="267" t="s">
        <v>105</v>
      </c>
      <c r="B42" s="271"/>
      <c r="C42" s="288">
        <f>C25-C40</f>
        <v>13067777.836606517</v>
      </c>
      <c r="D42" s="288">
        <f t="shared" ref="D42:G42" si="10">D25-D40</f>
        <v>20769760.275209188</v>
      </c>
      <c r="E42" s="288">
        <f t="shared" si="10"/>
        <v>36811825.541880012</v>
      </c>
      <c r="F42" s="288">
        <f t="shared" si="10"/>
        <v>62863169.005059972</v>
      </c>
      <c r="G42" s="288">
        <f t="shared" si="10"/>
        <v>102888060.23222807</v>
      </c>
      <c r="H42" s="74"/>
      <c r="I42" s="74"/>
      <c r="J42" s="74"/>
      <c r="K42" s="74"/>
      <c r="L42" s="74"/>
    </row>
    <row r="43" spans="1:12" x14ac:dyDescent="0.25"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</row>
    <row r="44" spans="1:12" x14ac:dyDescent="0.25"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</row>
    <row r="45" spans="1:12" x14ac:dyDescent="0.25">
      <c r="A45" s="9" t="s">
        <v>118</v>
      </c>
      <c r="B45" s="54"/>
      <c r="C45" s="9"/>
      <c r="D45" s="9"/>
      <c r="E45" s="9"/>
      <c r="F45" s="9"/>
      <c r="G45" s="9"/>
      <c r="H45" s="74"/>
      <c r="I45" s="74"/>
      <c r="J45" s="74"/>
      <c r="K45" s="74"/>
      <c r="L45" s="74"/>
    </row>
    <row r="46" spans="1:12" x14ac:dyDescent="0.25">
      <c r="A46" s="243" t="s">
        <v>119</v>
      </c>
      <c r="B46" s="269"/>
      <c r="C46" s="74"/>
      <c r="D46" s="74"/>
      <c r="E46" s="74"/>
      <c r="F46" s="74"/>
      <c r="G46" s="74"/>
      <c r="H46" s="74"/>
      <c r="I46" s="74"/>
      <c r="J46" s="74"/>
      <c r="K46" s="74"/>
      <c r="L46" s="74"/>
    </row>
    <row r="47" spans="1:12" x14ac:dyDescent="0.25">
      <c r="A47" s="244" t="s">
        <v>88</v>
      </c>
      <c r="B47" s="244"/>
      <c r="C47" s="114">
        <f>C18</f>
        <v>0</v>
      </c>
      <c r="D47" s="114">
        <f>D18</f>
        <v>0</v>
      </c>
      <c r="E47" s="114">
        <f>E18</f>
        <v>0</v>
      </c>
      <c r="F47" s="114">
        <f>F18</f>
        <v>0</v>
      </c>
      <c r="G47" s="114">
        <f>G18</f>
        <v>0</v>
      </c>
    </row>
    <row r="48" spans="1:12" x14ac:dyDescent="0.25">
      <c r="A48" s="244" t="s">
        <v>90</v>
      </c>
      <c r="B48" s="244"/>
      <c r="C48" s="114">
        <f>C20</f>
        <v>1115.6683466653164</v>
      </c>
      <c r="D48" s="114">
        <f>D20</f>
        <v>19851.690166139135</v>
      </c>
      <c r="E48" s="114">
        <f>E20</f>
        <v>91812.766596626985</v>
      </c>
      <c r="F48" s="114">
        <f>F20</f>
        <v>272157.4038378729</v>
      </c>
      <c r="G48" s="114">
        <f>G20</f>
        <v>911791.85620827216</v>
      </c>
    </row>
    <row r="49" spans="1:7" x14ac:dyDescent="0.25">
      <c r="A49" s="245" t="s">
        <v>96</v>
      </c>
      <c r="B49" s="245"/>
      <c r="C49" s="225">
        <f>C29</f>
        <v>20000</v>
      </c>
      <c r="D49" s="225">
        <f>D29</f>
        <v>355870.8145745098</v>
      </c>
      <c r="E49" s="225">
        <f>E29</f>
        <v>1645879.2054296657</v>
      </c>
      <c r="F49" s="225">
        <f>F29</f>
        <v>4878822.7191591375</v>
      </c>
      <c r="G49" s="225">
        <f>G29</f>
        <v>16345213.323181177</v>
      </c>
    </row>
    <row r="50" spans="1:7" x14ac:dyDescent="0.25">
      <c r="A50" s="244" t="s">
        <v>120</v>
      </c>
      <c r="B50" s="244"/>
      <c r="C50" s="114">
        <f>C47+C48-C49</f>
        <v>-18884.331653334684</v>
      </c>
      <c r="D50" s="114">
        <f t="shared" ref="D50:G50" si="11">D47+D48-D49</f>
        <v>-336019.12440837064</v>
      </c>
      <c r="E50" s="114">
        <f t="shared" si="11"/>
        <v>-1554066.4388330388</v>
      </c>
      <c r="F50" s="114">
        <f t="shared" si="11"/>
        <v>-4606665.3153212648</v>
      </c>
      <c r="G50" s="114">
        <f t="shared" si="11"/>
        <v>-15433421.466972904</v>
      </c>
    </row>
    <row r="51" spans="1:7" x14ac:dyDescent="0.25">
      <c r="A51" s="244" t="s">
        <v>121</v>
      </c>
      <c r="B51" s="244"/>
      <c r="C51" s="114">
        <f>C50-B50</f>
        <v>-18884.331653334684</v>
      </c>
      <c r="D51" s="114">
        <f t="shared" ref="D51:G51" si="12">D50-C50</f>
        <v>-317134.79275503597</v>
      </c>
      <c r="E51" s="114">
        <f t="shared" si="12"/>
        <v>-1218047.3144246682</v>
      </c>
      <c r="F51" s="114">
        <f t="shared" si="12"/>
        <v>-3052598.876488226</v>
      </c>
      <c r="G51" s="114">
        <f t="shared" si="12"/>
        <v>-10826756.151651639</v>
      </c>
    </row>
    <row r="53" spans="1:7" x14ac:dyDescent="0.25">
      <c r="A53" s="243" t="s">
        <v>122</v>
      </c>
      <c r="B53" s="244"/>
    </row>
    <row r="54" spans="1:7" x14ac:dyDescent="0.25">
      <c r="A54" s="244" t="s">
        <v>123</v>
      </c>
      <c r="B54" s="244"/>
      <c r="C54" s="272">
        <f>'Balance Sheet 2020'!C42</f>
        <v>20000</v>
      </c>
      <c r="D54" s="272">
        <f>C57</f>
        <v>133775</v>
      </c>
      <c r="E54" s="114">
        <f t="shared" ref="E54:G54" si="13">D57</f>
        <v>253573.20041250001</v>
      </c>
      <c r="F54" s="114">
        <f t="shared" si="13"/>
        <v>373190.68523967772</v>
      </c>
      <c r="G54" s="114">
        <f t="shared" si="13"/>
        <v>492627.72709099366</v>
      </c>
    </row>
    <row r="55" spans="1:7" x14ac:dyDescent="0.25">
      <c r="A55" s="244" t="s">
        <v>124</v>
      </c>
      <c r="B55" s="244"/>
      <c r="C55" s="272">
        <f>SUM('Balance Sheet 2020'!C43:N43)</f>
        <v>120000</v>
      </c>
      <c r="D55" s="272">
        <f>D7</f>
        <v>120000</v>
      </c>
      <c r="E55" s="114">
        <f>E7</f>
        <v>120000</v>
      </c>
      <c r="F55" s="114">
        <f>F7</f>
        <v>120000</v>
      </c>
      <c r="G55" s="114">
        <f>G7</f>
        <v>120000</v>
      </c>
    </row>
    <row r="56" spans="1:7" x14ac:dyDescent="0.25">
      <c r="A56" s="245" t="s">
        <v>125</v>
      </c>
      <c r="B56" s="245"/>
      <c r="C56" s="273">
        <f>SUM('Balance Sheet 2020'!C44:N44)</f>
        <v>6225</v>
      </c>
      <c r="D56" s="273">
        <f>'Income Statement 2020-2024'!D10</f>
        <v>201.7995875</v>
      </c>
      <c r="E56" s="273">
        <f>'Income Statement 2020-2024'!E10</f>
        <v>382.51517282225626</v>
      </c>
      <c r="F56" s="273">
        <f>'Income Statement 2020-2024'!F10</f>
        <v>562.95814868405387</v>
      </c>
      <c r="G56" s="273">
        <f>'Income Statement 2020-2024'!G10</f>
        <v>743.12892631676402</v>
      </c>
    </row>
    <row r="57" spans="1:7" x14ac:dyDescent="0.25">
      <c r="A57" s="244" t="s">
        <v>126</v>
      </c>
      <c r="B57" s="244"/>
      <c r="C57" s="114">
        <f>C54+C55-C56</f>
        <v>133775</v>
      </c>
      <c r="D57" s="114">
        <f t="shared" ref="D57:G57" si="14">D54+D55-D56</f>
        <v>253573.20041250001</v>
      </c>
      <c r="E57" s="114">
        <f t="shared" si="14"/>
        <v>373190.68523967772</v>
      </c>
      <c r="F57" s="114">
        <f t="shared" si="14"/>
        <v>492627.72709099366</v>
      </c>
      <c r="G57" s="114">
        <f t="shared" si="14"/>
        <v>611884.59816467692</v>
      </c>
    </row>
    <row r="59" spans="1:7" x14ac:dyDescent="0.25">
      <c r="A59" s="243" t="s">
        <v>127</v>
      </c>
      <c r="B59" s="244"/>
    </row>
    <row r="60" spans="1:7" x14ac:dyDescent="0.25">
      <c r="A60" s="244" t="s">
        <v>128</v>
      </c>
      <c r="B60" s="244"/>
      <c r="C60" s="272">
        <f>'Balance Sheet 2020'!C48</f>
        <v>300000</v>
      </c>
      <c r="D60" s="114">
        <f>C62</f>
        <v>300000</v>
      </c>
      <c r="E60" s="114">
        <f t="shared" ref="E60:G60" si="15">D62</f>
        <v>300000</v>
      </c>
      <c r="F60" s="114">
        <f t="shared" si="15"/>
        <v>300000</v>
      </c>
      <c r="G60" s="114">
        <f t="shared" si="15"/>
        <v>300000</v>
      </c>
    </row>
    <row r="61" spans="1:7" x14ac:dyDescent="0.25">
      <c r="A61" s="245" t="s">
        <v>129</v>
      </c>
      <c r="B61" s="245"/>
      <c r="C61" s="273">
        <f>SUM('Balance Sheet 2020'!C49:N49)</f>
        <v>0</v>
      </c>
      <c r="D61" s="225">
        <f>D8</f>
        <v>0</v>
      </c>
      <c r="E61" s="225">
        <f>E8</f>
        <v>0</v>
      </c>
      <c r="F61" s="225">
        <f>F8</f>
        <v>0</v>
      </c>
      <c r="G61" s="225">
        <f>G8</f>
        <v>0</v>
      </c>
    </row>
    <row r="62" spans="1:7" x14ac:dyDescent="0.25">
      <c r="A62" s="244" t="s">
        <v>130</v>
      </c>
      <c r="B62" s="244"/>
      <c r="C62" s="114">
        <f>SUM(C60:C61)</f>
        <v>300000</v>
      </c>
      <c r="D62" s="114">
        <f t="shared" ref="D62:G62" si="16">SUM(D60:D61)</f>
        <v>300000</v>
      </c>
      <c r="E62" s="114">
        <f t="shared" si="16"/>
        <v>300000</v>
      </c>
      <c r="F62" s="114">
        <f t="shared" si="16"/>
        <v>300000</v>
      </c>
      <c r="G62" s="114">
        <f t="shared" si="16"/>
        <v>300000</v>
      </c>
    </row>
    <row r="63" spans="1:7" x14ac:dyDescent="0.25">
      <c r="A63" s="244" t="s">
        <v>69</v>
      </c>
      <c r="B63" s="244"/>
      <c r="C63" s="272">
        <f>SUM('Balance Sheet 2020'!C51:N51)</f>
        <v>21538.021442168119</v>
      </c>
      <c r="D63" s="272">
        <f>'Operating Expenses 2020-2024'!D33</f>
        <v>452.55</v>
      </c>
      <c r="E63" s="272">
        <f>'Operating Expenses 2020-2024'!E33</f>
        <v>452.55</v>
      </c>
      <c r="F63" s="272">
        <f>'Operating Expenses 2020-2024'!F33</f>
        <v>452.55</v>
      </c>
      <c r="G63" s="272">
        <f>'Operating Expenses 2020-2024'!G33</f>
        <v>452.55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39997558519241921"/>
  </sheetPr>
  <dimension ref="A1:O25"/>
  <sheetViews>
    <sheetView showGridLines="0" topLeftCell="E1" zoomScale="156" zoomScaleNormal="90" workbookViewId="0">
      <pane ySplit="2" topLeftCell="A3" activePane="bottomLeft" state="frozen"/>
      <selection activeCell="C24" sqref="C24"/>
      <selection pane="bottomLeft" activeCell="R19" sqref="R19"/>
    </sheetView>
  </sheetViews>
  <sheetFormatPr baseColWidth="10" defaultColWidth="9.1640625" defaultRowHeight="16" x14ac:dyDescent="0.25"/>
  <cols>
    <col min="1" max="1" width="29.1640625" style="1" customWidth="1"/>
    <col min="2" max="2" width="9.1640625" style="1"/>
    <col min="3" max="15" width="12.83203125" style="1" customWidth="1"/>
    <col min="16" max="16384" width="9.1640625" style="1"/>
  </cols>
  <sheetData>
    <row r="1" spans="1:15" s="4" customFormat="1" x14ac:dyDescent="0.25">
      <c r="A1" s="52" t="s">
        <v>439</v>
      </c>
      <c r="C1" s="49">
        <v>2020</v>
      </c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pans="1:15" s="4" customFormat="1" x14ac:dyDescent="0.25">
      <c r="A2" s="51"/>
      <c r="B2" s="3"/>
      <c r="C2" s="48" t="s">
        <v>43</v>
      </c>
      <c r="D2" s="48" t="s">
        <v>44</v>
      </c>
      <c r="E2" s="48" t="s">
        <v>45</v>
      </c>
      <c r="F2" s="48" t="s">
        <v>46</v>
      </c>
      <c r="G2" s="48" t="s">
        <v>0</v>
      </c>
      <c r="H2" s="48" t="s">
        <v>47</v>
      </c>
      <c r="I2" s="48" t="s">
        <v>48</v>
      </c>
      <c r="J2" s="48" t="s">
        <v>49</v>
      </c>
      <c r="K2" s="48" t="s">
        <v>50</v>
      </c>
      <c r="L2" s="48" t="s">
        <v>51</v>
      </c>
      <c r="M2" s="48" t="s">
        <v>52</v>
      </c>
      <c r="N2" s="48" t="s">
        <v>53</v>
      </c>
      <c r="O2" s="48" t="s">
        <v>74</v>
      </c>
    </row>
    <row r="3" spans="1:15" x14ac:dyDescent="0.25">
      <c r="A3" s="243" t="s">
        <v>137</v>
      </c>
      <c r="B3" s="244"/>
    </row>
    <row r="4" spans="1:15" x14ac:dyDescent="0.25">
      <c r="A4" s="244" t="s">
        <v>72</v>
      </c>
      <c r="B4" s="244"/>
      <c r="C4" s="140">
        <f>'Income Statement 2020'!C29</f>
        <v>-69640.350000000006</v>
      </c>
      <c r="D4" s="140">
        <f>'Income Statement 2020'!D29</f>
        <v>-61864.221000000005</v>
      </c>
      <c r="E4" s="140">
        <f>'Income Statement 2020'!E29</f>
        <v>-78692.58438</v>
      </c>
      <c r="F4" s="140">
        <f>'Income Statement 2020'!F29</f>
        <v>-49306.777067599993</v>
      </c>
      <c r="G4" s="140">
        <f>'Income Statement 2020'!G29</f>
        <v>-43863.161408952001</v>
      </c>
      <c r="H4" s="140">
        <f>'Income Statement 2020'!H29</f>
        <v>-97528.950695131061</v>
      </c>
      <c r="I4" s="140">
        <f>'Income Statement 2020'!I29</f>
        <v>-147449.83560101368</v>
      </c>
      <c r="J4" s="140">
        <f>'Income Statement 2020'!J29</f>
        <v>-164723.23874378711</v>
      </c>
      <c r="K4" s="140">
        <f>'Income Statement 2020'!K29</f>
        <v>-200669.0723476226</v>
      </c>
      <c r="L4" s="140">
        <f>'Income Statement 2020'!L29</f>
        <v>-232760.92132059037</v>
      </c>
      <c r="M4" s="140">
        <f>'Income Statement 2020'!M29</f>
        <v>-247208.21724775661</v>
      </c>
      <c r="N4" s="140">
        <f>'Income Statement 2020'!N29</f>
        <v>-252745.06030438704</v>
      </c>
      <c r="O4" s="140">
        <f>'Income Statement 2020'!O29</f>
        <v>-1646452.3901168406</v>
      </c>
    </row>
    <row r="5" spans="1:15" x14ac:dyDescent="0.25">
      <c r="A5" s="244" t="s">
        <v>138</v>
      </c>
      <c r="B5" s="244"/>
      <c r="C5" s="140">
        <f>'Income Statement 2020'!C9</f>
        <v>200</v>
      </c>
      <c r="D5" s="140">
        <f>'Income Statement 2020'!D9</f>
        <v>200</v>
      </c>
      <c r="E5" s="140">
        <f>'Income Statement 2020'!E9</f>
        <v>200</v>
      </c>
      <c r="F5" s="140">
        <f>'Income Statement 2020'!F9</f>
        <v>625</v>
      </c>
      <c r="G5" s="140">
        <f>'Income Statement 2020'!G9</f>
        <v>625</v>
      </c>
      <c r="H5" s="140">
        <f>'Income Statement 2020'!H9</f>
        <v>625</v>
      </c>
      <c r="I5" s="140">
        <f>'Income Statement 2020'!I9</f>
        <v>625</v>
      </c>
      <c r="J5" s="140">
        <f>'Income Statement 2020'!J9</f>
        <v>625</v>
      </c>
      <c r="K5" s="140">
        <f>'Income Statement 2020'!K9</f>
        <v>625</v>
      </c>
      <c r="L5" s="140">
        <f>'Income Statement 2020'!L9</f>
        <v>625</v>
      </c>
      <c r="M5" s="140">
        <f>'Income Statement 2020'!M9</f>
        <v>625</v>
      </c>
      <c r="N5" s="140">
        <f>'Income Statement 2020'!N9</f>
        <v>625</v>
      </c>
      <c r="O5" s="140">
        <f>'Income Statement 2020'!O9</f>
        <v>6225</v>
      </c>
    </row>
    <row r="6" spans="1:15" x14ac:dyDescent="0.25">
      <c r="A6" s="245" t="s">
        <v>139</v>
      </c>
      <c r="B6" s="245"/>
      <c r="C6" s="143">
        <f>'Balance Sheet 2020'!C39</f>
        <v>-4000</v>
      </c>
      <c r="D6" s="143">
        <f>'Balance Sheet 2020'!D39</f>
        <v>10</v>
      </c>
      <c r="E6" s="143">
        <f>'Balance Sheet 2020'!E39</f>
        <v>10.099999999999909</v>
      </c>
      <c r="F6" s="143">
        <f>'Balance Sheet 2020'!F39</f>
        <v>-14989.799000000001</v>
      </c>
      <c r="G6" s="143">
        <f>'Balance Sheet 2020'!G39</f>
        <v>10.303009999999631</v>
      </c>
      <c r="H6" s="143">
        <f>'Balance Sheet 2020'!H39</f>
        <v>10.406040100002429</v>
      </c>
      <c r="I6" s="143">
        <f>'Balance Sheet 2020'!I39</f>
        <v>10.510100500996487</v>
      </c>
      <c r="J6" s="143">
        <f>'Balance Sheet 2020'!J39</f>
        <v>10.615201506010635</v>
      </c>
      <c r="K6" s="143">
        <f>'Balance Sheet 2020'!K39</f>
        <v>10.72135352107216</v>
      </c>
      <c r="L6" s="143">
        <f>'Balance Sheet 2020'!L39</f>
        <v>10.828567056280008</v>
      </c>
      <c r="M6" s="143">
        <f>'Balance Sheet 2020'!M39</f>
        <v>10.936852726845245</v>
      </c>
      <c r="N6" s="143">
        <f>'Balance Sheet 2020'!N39</f>
        <v>11.046221254109696</v>
      </c>
      <c r="O6" s="143">
        <f>SUM(C6:N6)</f>
        <v>-18884.331653334684</v>
      </c>
    </row>
    <row r="7" spans="1:15" x14ac:dyDescent="0.25">
      <c r="A7" s="243" t="s">
        <v>140</v>
      </c>
      <c r="B7" s="243"/>
      <c r="C7" s="139">
        <f>C4+C5-C6</f>
        <v>-65440.350000000006</v>
      </c>
      <c r="D7" s="139">
        <f t="shared" ref="D7:O7" si="0">D4+D5-D6</f>
        <v>-61674.221000000005</v>
      </c>
      <c r="E7" s="139">
        <f t="shared" si="0"/>
        <v>-78502.684380000006</v>
      </c>
      <c r="F7" s="139">
        <f t="shared" si="0"/>
        <v>-33691.978067599994</v>
      </c>
      <c r="G7" s="139">
        <f t="shared" si="0"/>
        <v>-43248.464418952004</v>
      </c>
      <c r="H7" s="139">
        <f t="shared" si="0"/>
        <v>-96914.356735231064</v>
      </c>
      <c r="I7" s="139">
        <f t="shared" si="0"/>
        <v>-146835.34570151469</v>
      </c>
      <c r="J7" s="139">
        <f t="shared" si="0"/>
        <v>-164108.85394529311</v>
      </c>
      <c r="K7" s="139">
        <f t="shared" si="0"/>
        <v>-200054.79370114367</v>
      </c>
      <c r="L7" s="139">
        <f t="shared" si="0"/>
        <v>-232146.74988764664</v>
      </c>
      <c r="M7" s="139">
        <f t="shared" si="0"/>
        <v>-246594.15410048346</v>
      </c>
      <c r="N7" s="139">
        <f t="shared" si="0"/>
        <v>-252131.10652564114</v>
      </c>
      <c r="O7" s="139">
        <f t="shared" si="0"/>
        <v>-1621343.0584635059</v>
      </c>
    </row>
    <row r="8" spans="1:15" x14ac:dyDescent="0.25"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</row>
    <row r="9" spans="1:15" x14ac:dyDescent="0.25">
      <c r="A9" s="243" t="s">
        <v>141</v>
      </c>
      <c r="B9" s="244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</row>
    <row r="10" spans="1:15" x14ac:dyDescent="0.25">
      <c r="A10" s="245" t="s">
        <v>142</v>
      </c>
      <c r="B10" s="245"/>
      <c r="C10" s="143">
        <f>'Balance Sheet 2020'!C43</f>
        <v>10000</v>
      </c>
      <c r="D10" s="143">
        <f>'Balance Sheet 2020'!D43</f>
        <v>10000</v>
      </c>
      <c r="E10" s="143">
        <f>'Balance Sheet 2020'!E43</f>
        <v>10000</v>
      </c>
      <c r="F10" s="143">
        <f>'Balance Sheet 2020'!F43</f>
        <v>10000</v>
      </c>
      <c r="G10" s="143">
        <f>'Balance Sheet 2020'!G43</f>
        <v>10000</v>
      </c>
      <c r="H10" s="143">
        <f>'Balance Sheet 2020'!H43</f>
        <v>10000</v>
      </c>
      <c r="I10" s="143">
        <f>'Balance Sheet 2020'!I43</f>
        <v>10000</v>
      </c>
      <c r="J10" s="143">
        <f>'Balance Sheet 2020'!J43</f>
        <v>10000</v>
      </c>
      <c r="K10" s="143">
        <f>'Balance Sheet 2020'!K43</f>
        <v>10000</v>
      </c>
      <c r="L10" s="143">
        <f>'Balance Sheet 2020'!L43</f>
        <v>10000</v>
      </c>
      <c r="M10" s="143">
        <f>'Balance Sheet 2020'!M43</f>
        <v>10000</v>
      </c>
      <c r="N10" s="143">
        <f>'Balance Sheet 2020'!N43</f>
        <v>10000</v>
      </c>
      <c r="O10" s="143">
        <f>SUM(C10:N10)</f>
        <v>120000</v>
      </c>
    </row>
    <row r="11" spans="1:15" x14ac:dyDescent="0.25">
      <c r="A11" s="243" t="s">
        <v>143</v>
      </c>
      <c r="B11" s="243"/>
      <c r="C11" s="139">
        <f>C10</f>
        <v>10000</v>
      </c>
      <c r="D11" s="139">
        <f t="shared" ref="D11:O11" si="1">D10</f>
        <v>10000</v>
      </c>
      <c r="E11" s="139">
        <f t="shared" si="1"/>
        <v>10000</v>
      </c>
      <c r="F11" s="139">
        <f t="shared" si="1"/>
        <v>10000</v>
      </c>
      <c r="G11" s="139">
        <f t="shared" si="1"/>
        <v>10000</v>
      </c>
      <c r="H11" s="139">
        <f t="shared" si="1"/>
        <v>10000</v>
      </c>
      <c r="I11" s="139">
        <f t="shared" si="1"/>
        <v>10000</v>
      </c>
      <c r="J11" s="139">
        <f t="shared" si="1"/>
        <v>10000</v>
      </c>
      <c r="K11" s="139">
        <f t="shared" si="1"/>
        <v>10000</v>
      </c>
      <c r="L11" s="139">
        <f t="shared" si="1"/>
        <v>10000</v>
      </c>
      <c r="M11" s="139">
        <f t="shared" si="1"/>
        <v>10000</v>
      </c>
      <c r="N11" s="139">
        <f t="shared" si="1"/>
        <v>10000</v>
      </c>
      <c r="O11" s="139">
        <f t="shared" si="1"/>
        <v>120000</v>
      </c>
    </row>
    <row r="12" spans="1:15" x14ac:dyDescent="0.25"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</row>
    <row r="13" spans="1:15" x14ac:dyDescent="0.25">
      <c r="A13" s="243" t="s">
        <v>144</v>
      </c>
      <c r="B13" s="244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</row>
    <row r="14" spans="1:15" x14ac:dyDescent="0.25">
      <c r="A14" s="244" t="s">
        <v>145</v>
      </c>
      <c r="B14" s="244"/>
      <c r="C14" s="140">
        <f>'Balance Sheet 2020'!C49</f>
        <v>0</v>
      </c>
      <c r="D14" s="140">
        <f>'Balance Sheet 2020'!D49</f>
        <v>0</v>
      </c>
      <c r="E14" s="140">
        <f>'Balance Sheet 2020'!E49</f>
        <v>0</v>
      </c>
      <c r="F14" s="140">
        <f>'Balance Sheet 2020'!F49</f>
        <v>0</v>
      </c>
      <c r="G14" s="140">
        <f>'Balance Sheet 2020'!G49</f>
        <v>0</v>
      </c>
      <c r="H14" s="140">
        <f>'Balance Sheet 2020'!H49</f>
        <v>0</v>
      </c>
      <c r="I14" s="140">
        <f>'Balance Sheet 2020'!I49</f>
        <v>0</v>
      </c>
      <c r="J14" s="140">
        <f>'Balance Sheet 2020'!J49</f>
        <v>0</v>
      </c>
      <c r="K14" s="140">
        <f>'Balance Sheet 2020'!K49</f>
        <v>0</v>
      </c>
      <c r="L14" s="140">
        <f>'Balance Sheet 2020'!L49</f>
        <v>0</v>
      </c>
      <c r="M14" s="140">
        <f>'Balance Sheet 2020'!M49</f>
        <v>0</v>
      </c>
      <c r="N14" s="140">
        <f>'Balance Sheet 2020'!N49</f>
        <v>0</v>
      </c>
      <c r="O14" s="143">
        <f>SUM(C14:N14)</f>
        <v>0</v>
      </c>
    </row>
    <row r="15" spans="1:15" x14ac:dyDescent="0.25">
      <c r="A15" s="245" t="s">
        <v>663</v>
      </c>
      <c r="B15" s="245"/>
      <c r="C15" s="242">
        <v>52560</v>
      </c>
      <c r="D15" s="242">
        <v>4800</v>
      </c>
      <c r="E15" s="242"/>
      <c r="F15" s="242">
        <f>7200+4800</f>
        <v>12000</v>
      </c>
      <c r="G15" s="242">
        <v>4800</v>
      </c>
      <c r="H15" s="242">
        <v>45000</v>
      </c>
      <c r="I15" s="242">
        <v>4800</v>
      </c>
      <c r="J15" s="242">
        <v>4800</v>
      </c>
      <c r="K15" s="242">
        <v>4800</v>
      </c>
      <c r="L15" s="242">
        <v>4800</v>
      </c>
      <c r="M15" s="242">
        <v>4800</v>
      </c>
      <c r="N15" s="242">
        <v>4800</v>
      </c>
      <c r="O15" s="143">
        <f>SUM(C15:N15)</f>
        <v>147960</v>
      </c>
    </row>
    <row r="16" spans="1:15" x14ac:dyDescent="0.25">
      <c r="A16" s="245" t="s">
        <v>664</v>
      </c>
      <c r="B16" s="245"/>
      <c r="C16" s="242">
        <v>30000</v>
      </c>
      <c r="D16" s="242">
        <v>50000</v>
      </c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143">
        <f>SUM(C16:N16)</f>
        <v>80000</v>
      </c>
    </row>
    <row r="17" spans="1:15" x14ac:dyDescent="0.25">
      <c r="A17" s="245" t="s">
        <v>666</v>
      </c>
      <c r="B17" s="245"/>
      <c r="C17" s="242">
        <v>50000</v>
      </c>
      <c r="D17" s="242">
        <f>20000+36500+65200</f>
        <v>121700</v>
      </c>
      <c r="E17" s="242"/>
      <c r="F17" s="242"/>
      <c r="G17" s="242"/>
      <c r="H17" s="242"/>
      <c r="I17" s="242">
        <v>10000000</v>
      </c>
      <c r="J17" s="242"/>
      <c r="K17" s="242"/>
      <c r="L17" s="242"/>
      <c r="M17" s="242"/>
      <c r="N17" s="242"/>
      <c r="O17" s="143">
        <f>SUM(C17:N17)</f>
        <v>10171700</v>
      </c>
    </row>
    <row r="18" spans="1:15" x14ac:dyDescent="0.25">
      <c r="A18" s="248" t="s">
        <v>667</v>
      </c>
      <c r="B18" s="248"/>
      <c r="C18" s="638"/>
      <c r="D18" s="638"/>
      <c r="E18" s="638"/>
      <c r="F18" s="638"/>
      <c r="G18" s="638"/>
      <c r="H18" s="638"/>
      <c r="I18" s="638"/>
      <c r="J18" s="638"/>
      <c r="K18" s="638">
        <v>4000000</v>
      </c>
      <c r="L18" s="638"/>
      <c r="M18" s="638"/>
      <c r="N18" s="638"/>
      <c r="O18" s="143">
        <f>SUM(C18:N18)</f>
        <v>4000000</v>
      </c>
    </row>
    <row r="19" spans="1:15" x14ac:dyDescent="0.25">
      <c r="A19" s="243" t="s">
        <v>146</v>
      </c>
      <c r="B19" s="243"/>
      <c r="C19" s="139">
        <f t="shared" ref="C19:N19" si="2">C14+C15+C17-C16+C18</f>
        <v>72560</v>
      </c>
      <c r="D19" s="139">
        <f t="shared" si="2"/>
        <v>76500</v>
      </c>
      <c r="E19" s="139">
        <f t="shared" si="2"/>
        <v>0</v>
      </c>
      <c r="F19" s="139">
        <f t="shared" si="2"/>
        <v>12000</v>
      </c>
      <c r="G19" s="139">
        <f t="shared" si="2"/>
        <v>4800</v>
      </c>
      <c r="H19" s="139">
        <f t="shared" si="2"/>
        <v>45000</v>
      </c>
      <c r="I19" s="139">
        <f t="shared" si="2"/>
        <v>10004800</v>
      </c>
      <c r="J19" s="139">
        <f t="shared" si="2"/>
        <v>4800</v>
      </c>
      <c r="K19" s="139">
        <f t="shared" si="2"/>
        <v>4004800</v>
      </c>
      <c r="L19" s="139">
        <f t="shared" si="2"/>
        <v>4800</v>
      </c>
      <c r="M19" s="139">
        <f t="shared" si="2"/>
        <v>4800</v>
      </c>
      <c r="N19" s="139">
        <f t="shared" si="2"/>
        <v>4800</v>
      </c>
      <c r="O19" s="139">
        <f>O14+O15+O17-O16+O18</f>
        <v>14239660</v>
      </c>
    </row>
    <row r="20" spans="1:15" x14ac:dyDescent="0.25"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</row>
    <row r="21" spans="1:15" x14ac:dyDescent="0.25">
      <c r="A21" s="244" t="s">
        <v>147</v>
      </c>
      <c r="B21" s="244"/>
      <c r="C21" s="140">
        <f>C7-C11+C19</f>
        <v>-2880.3500000000058</v>
      </c>
      <c r="D21" s="140">
        <f t="shared" ref="D21:O21" si="3">D7-D11+D19</f>
        <v>4825.778999999995</v>
      </c>
      <c r="E21" s="140">
        <f t="shared" si="3"/>
        <v>-88502.684380000006</v>
      </c>
      <c r="F21" s="140">
        <f t="shared" si="3"/>
        <v>-31691.978067599994</v>
      </c>
      <c r="G21" s="140">
        <f t="shared" si="3"/>
        <v>-48448.464418952004</v>
      </c>
      <c r="H21" s="140">
        <f t="shared" si="3"/>
        <v>-61914.356735231064</v>
      </c>
      <c r="I21" s="140">
        <f t="shared" si="3"/>
        <v>9847964.6542984862</v>
      </c>
      <c r="J21" s="140">
        <f t="shared" si="3"/>
        <v>-169308.85394529311</v>
      </c>
      <c r="K21" s="140">
        <f t="shared" si="3"/>
        <v>3794745.2062988565</v>
      </c>
      <c r="L21" s="140">
        <f t="shared" si="3"/>
        <v>-237346.74988764664</v>
      </c>
      <c r="M21" s="140">
        <f t="shared" si="3"/>
        <v>-251794.15410048346</v>
      </c>
      <c r="N21" s="140">
        <f t="shared" si="3"/>
        <v>-257331.10652564114</v>
      </c>
      <c r="O21" s="140">
        <f t="shared" si="3"/>
        <v>12498316.941536494</v>
      </c>
    </row>
    <row r="22" spans="1:15" x14ac:dyDescent="0.25">
      <c r="A22" s="245" t="s">
        <v>148</v>
      </c>
      <c r="B22" s="245"/>
      <c r="C22" s="147">
        <f>B23</f>
        <v>0</v>
      </c>
      <c r="D22" s="147">
        <f t="shared" ref="D22:O22" si="4">C23</f>
        <v>-2880.3500000000058</v>
      </c>
      <c r="E22" s="147">
        <f t="shared" si="4"/>
        <v>1945.4289999999892</v>
      </c>
      <c r="F22" s="147">
        <f t="shared" si="4"/>
        <v>-86557.255380000017</v>
      </c>
      <c r="G22" s="147">
        <f t="shared" si="4"/>
        <v>-118249.23344760001</v>
      </c>
      <c r="H22" s="147">
        <f t="shared" si="4"/>
        <v>-166697.69786655201</v>
      </c>
      <c r="I22" s="147">
        <f t="shared" si="4"/>
        <v>-228612.05460178308</v>
      </c>
      <c r="J22" s="147">
        <f t="shared" si="4"/>
        <v>9619352.5996967033</v>
      </c>
      <c r="K22" s="147">
        <f t="shared" si="4"/>
        <v>9450043.7457514107</v>
      </c>
      <c r="L22" s="147">
        <f t="shared" si="4"/>
        <v>13244788.952050267</v>
      </c>
      <c r="M22" s="147">
        <f t="shared" si="4"/>
        <v>13007442.20216262</v>
      </c>
      <c r="N22" s="147">
        <f t="shared" si="4"/>
        <v>12755648.048062136</v>
      </c>
      <c r="O22" s="147">
        <f t="shared" si="4"/>
        <v>12498316.941536495</v>
      </c>
    </row>
    <row r="23" spans="1:15" x14ac:dyDescent="0.25">
      <c r="A23" s="243" t="s">
        <v>149</v>
      </c>
      <c r="B23" s="243"/>
      <c r="C23" s="139">
        <f>SUM(C21:C22)</f>
        <v>-2880.3500000000058</v>
      </c>
      <c r="D23" s="139">
        <f t="shared" ref="D23:O23" si="5">SUM(D21:D22)</f>
        <v>1945.4289999999892</v>
      </c>
      <c r="E23" s="568">
        <f t="shared" si="5"/>
        <v>-86557.255380000017</v>
      </c>
      <c r="F23" s="568">
        <f t="shared" si="5"/>
        <v>-118249.23344760001</v>
      </c>
      <c r="G23" s="568">
        <f t="shared" si="5"/>
        <v>-166697.69786655201</v>
      </c>
      <c r="H23" s="139">
        <f t="shared" si="5"/>
        <v>-228612.05460178308</v>
      </c>
      <c r="I23" s="139">
        <f t="shared" si="5"/>
        <v>9619352.5996967033</v>
      </c>
      <c r="J23" s="139">
        <f t="shared" si="5"/>
        <v>9450043.7457514107</v>
      </c>
      <c r="K23" s="139">
        <f t="shared" si="5"/>
        <v>13244788.952050267</v>
      </c>
      <c r="L23" s="139">
        <f t="shared" si="5"/>
        <v>13007442.20216262</v>
      </c>
      <c r="M23" s="139">
        <f t="shared" si="5"/>
        <v>12755648.048062136</v>
      </c>
      <c r="N23" s="139">
        <f t="shared" si="5"/>
        <v>12498316.941536495</v>
      </c>
      <c r="O23" s="139">
        <f t="shared" si="5"/>
        <v>24996633.883072987</v>
      </c>
    </row>
    <row r="25" spans="1:15" x14ac:dyDescent="0.25">
      <c r="A25" s="244" t="s">
        <v>105</v>
      </c>
      <c r="B25" s="244"/>
      <c r="C25" s="90">
        <f>C23-'Balance Sheet 2020'!C6</f>
        <v>0</v>
      </c>
      <c r="D25" s="90">
        <f>D23-'Balance Sheet 2020'!D6</f>
        <v>0</v>
      </c>
      <c r="E25" s="90">
        <f>E23-'Balance Sheet 2020'!E6</f>
        <v>0</v>
      </c>
      <c r="F25" s="90">
        <f>F23-'Balance Sheet 2020'!F6</f>
        <v>0</v>
      </c>
      <c r="G25" s="90">
        <f>G23-'Balance Sheet 2020'!G6</f>
        <v>0</v>
      </c>
      <c r="H25" s="90">
        <f>H23-'Balance Sheet 2020'!H6</f>
        <v>0</v>
      </c>
      <c r="I25" s="90">
        <f>I23-'Balance Sheet 2020'!I6</f>
        <v>0</v>
      </c>
      <c r="J25" s="90">
        <f>J23-'Balance Sheet 2020'!J6</f>
        <v>0</v>
      </c>
      <c r="K25" s="90">
        <f>K23-'Balance Sheet 2020'!K6</f>
        <v>0</v>
      </c>
      <c r="L25" s="90">
        <f>L23-'Balance Sheet 2020'!L6</f>
        <v>0</v>
      </c>
      <c r="M25" s="90">
        <f>M23-'Balance Sheet 2020'!M6</f>
        <v>0</v>
      </c>
      <c r="N25" s="90">
        <f>N23-'Balance Sheet 2020'!N6</f>
        <v>0</v>
      </c>
      <c r="O25" s="90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T573"/>
  <sheetViews>
    <sheetView showGridLines="0" topLeftCell="A548" zoomScale="108" zoomScaleNormal="85" workbookViewId="0">
      <selection activeCell="C479" sqref="C479:C480"/>
    </sheetView>
  </sheetViews>
  <sheetFormatPr baseColWidth="10" defaultColWidth="9.1640625" defaultRowHeight="16" outlineLevelRow="1" x14ac:dyDescent="0.25"/>
  <cols>
    <col min="1" max="1" width="35" style="1" customWidth="1"/>
    <col min="2" max="2" width="14.83203125" style="1" customWidth="1"/>
    <col min="3" max="3" width="13.6640625" style="1" customWidth="1"/>
    <col min="4" max="4" width="24" style="1" customWidth="1"/>
    <col min="5" max="6" width="11.83203125" style="1" customWidth="1"/>
    <col min="7" max="7" width="12.5" style="1" customWidth="1"/>
    <col min="8" max="9" width="11.83203125" style="1" customWidth="1"/>
    <col min="10" max="10" width="13.5" style="1" customWidth="1"/>
    <col min="11" max="12" width="11.83203125" style="1" customWidth="1"/>
    <col min="13" max="14" width="11.5" style="1" customWidth="1"/>
    <col min="15" max="19" width="10.33203125" style="1" customWidth="1"/>
    <col min="20" max="16384" width="9.1640625" style="1"/>
  </cols>
  <sheetData>
    <row r="1" spans="1:20" s="4" customFormat="1" x14ac:dyDescent="0.25">
      <c r="A1" s="25" t="str">
        <f>"Payroll - "&amp;YEAR($B$15)</f>
        <v>Payroll - 2020</v>
      </c>
      <c r="B1" s="3"/>
    </row>
    <row r="2" spans="1:20" ht="17" x14ac:dyDescent="0.25">
      <c r="A2" s="30" t="s">
        <v>1</v>
      </c>
      <c r="B2" s="31" t="s">
        <v>34</v>
      </c>
      <c r="C2" s="32" t="s">
        <v>16</v>
      </c>
      <c r="D2" s="32" t="s">
        <v>7</v>
      </c>
      <c r="E2" s="32" t="s">
        <v>11</v>
      </c>
      <c r="F2" s="30"/>
      <c r="G2" s="30" t="s">
        <v>1</v>
      </c>
      <c r="T2"/>
    </row>
    <row r="3" spans="1:20" x14ac:dyDescent="0.25">
      <c r="A3" s="1" t="s">
        <v>3</v>
      </c>
      <c r="B3" s="41" t="s">
        <v>6</v>
      </c>
      <c r="C3" s="41">
        <v>8</v>
      </c>
      <c r="D3" s="41" t="s">
        <v>8</v>
      </c>
      <c r="E3" s="41" t="s">
        <v>8</v>
      </c>
      <c r="T3"/>
    </row>
    <row r="4" spans="1:20" x14ac:dyDescent="0.25">
      <c r="A4" s="1" t="s">
        <v>4</v>
      </c>
      <c r="B4" s="41" t="s">
        <v>6</v>
      </c>
      <c r="C4" s="42" t="s">
        <v>10</v>
      </c>
      <c r="D4" s="43" t="s">
        <v>9</v>
      </c>
      <c r="E4" s="43" t="s">
        <v>9</v>
      </c>
      <c r="T4"/>
    </row>
    <row r="5" spans="1:20" x14ac:dyDescent="0.25">
      <c r="A5" s="1" t="s">
        <v>5</v>
      </c>
      <c r="B5" s="41" t="s">
        <v>6</v>
      </c>
      <c r="C5" s="43">
        <v>8</v>
      </c>
      <c r="D5" s="44" t="s">
        <v>9</v>
      </c>
      <c r="E5" s="44" t="s">
        <v>9</v>
      </c>
      <c r="T5"/>
    </row>
    <row r="6" spans="1:20" x14ac:dyDescent="0.25">
      <c r="B6" s="41"/>
      <c r="C6" s="43"/>
      <c r="D6" s="44"/>
      <c r="E6" s="44"/>
      <c r="T6"/>
    </row>
    <row r="7" spans="1:20" x14ac:dyDescent="0.25">
      <c r="A7" s="30" t="s">
        <v>483</v>
      </c>
      <c r="B7" s="30" t="s">
        <v>491</v>
      </c>
      <c r="C7" s="30" t="s">
        <v>489</v>
      </c>
      <c r="D7" s="32" t="s">
        <v>490</v>
      </c>
      <c r="E7" s="208"/>
      <c r="F7" s="208"/>
      <c r="G7" s="30" t="s">
        <v>630</v>
      </c>
      <c r="H7" s="576" t="s">
        <v>632</v>
      </c>
      <c r="I7" s="576"/>
      <c r="T7"/>
    </row>
    <row r="8" spans="1:20" x14ac:dyDescent="0.25">
      <c r="A8" s="1" t="s">
        <v>484</v>
      </c>
      <c r="B8" s="41">
        <f>COUNTIF($D$533:$D$571,A8)</f>
        <v>3</v>
      </c>
      <c r="C8" s="317">
        <f>VLOOKUP(A8,$D$531:$E$571,2)</f>
        <v>37</v>
      </c>
      <c r="D8" s="317">
        <f>SUMIF($D$38:$D$571,A8,$G$38:$G$571)</f>
        <v>272480</v>
      </c>
      <c r="E8" s="44"/>
      <c r="G8" s="1" t="s">
        <v>631</v>
      </c>
      <c r="H8" s="115">
        <v>0.6</v>
      </c>
      <c r="T8"/>
    </row>
    <row r="9" spans="1:20" x14ac:dyDescent="0.25">
      <c r="A9" s="1" t="s">
        <v>485</v>
      </c>
      <c r="B9" s="41">
        <f t="shared" ref="B9:B12" si="0">COUNTIF($D$533:$D$571,A9)</f>
        <v>11</v>
      </c>
      <c r="C9" s="317">
        <f t="shared" ref="C9:C12" si="1">VLOOKUP(A9,$D$531:$E$571,2)</f>
        <v>17</v>
      </c>
      <c r="D9" s="317">
        <f t="shared" ref="D9:D12" si="2">SUMIF($D$38:$D$571,A9,$G$38:$G$571)</f>
        <v>167512</v>
      </c>
      <c r="E9" s="44"/>
      <c r="T9"/>
    </row>
    <row r="10" spans="1:20" x14ac:dyDescent="0.25">
      <c r="A10" s="1" t="s">
        <v>486</v>
      </c>
      <c r="B10" s="41">
        <f t="shared" si="0"/>
        <v>19</v>
      </c>
      <c r="C10" s="317">
        <f t="shared" si="1"/>
        <v>20</v>
      </c>
      <c r="D10" s="317">
        <f t="shared" si="2"/>
        <v>437696</v>
      </c>
      <c r="E10" s="44"/>
      <c r="T10"/>
    </row>
    <row r="11" spans="1:20" x14ac:dyDescent="0.25">
      <c r="A11" s="1" t="s">
        <v>488</v>
      </c>
      <c r="B11" s="41">
        <f t="shared" si="0"/>
        <v>2</v>
      </c>
      <c r="C11" s="317">
        <f t="shared" si="1"/>
        <v>37</v>
      </c>
      <c r="D11" s="317">
        <f t="shared" si="2"/>
        <v>25024</v>
      </c>
      <c r="E11" s="44"/>
      <c r="T11"/>
    </row>
    <row r="12" spans="1:20" x14ac:dyDescent="0.25">
      <c r="A12" s="1" t="s">
        <v>487</v>
      </c>
      <c r="B12" s="41">
        <f t="shared" si="0"/>
        <v>3</v>
      </c>
      <c r="C12" s="317">
        <f t="shared" si="1"/>
        <v>23</v>
      </c>
      <c r="D12" s="317">
        <f t="shared" si="2"/>
        <v>31536</v>
      </c>
      <c r="E12" s="44"/>
      <c r="T12"/>
    </row>
    <row r="13" spans="1:20" x14ac:dyDescent="0.25">
      <c r="B13" s="41"/>
      <c r="C13" s="43"/>
      <c r="D13" s="44"/>
      <c r="E13" s="44"/>
      <c r="T13"/>
    </row>
    <row r="14" spans="1:20" x14ac:dyDescent="0.25">
      <c r="B14" s="5"/>
      <c r="C14" s="6"/>
      <c r="D14" s="7"/>
      <c r="E14" s="7"/>
      <c r="S14" s="2"/>
      <c r="T14"/>
    </row>
    <row r="15" spans="1:20" ht="17" x14ac:dyDescent="0.25">
      <c r="A15" s="28" t="s">
        <v>35</v>
      </c>
      <c r="B15" s="29">
        <v>43831</v>
      </c>
      <c r="C15" s="29">
        <v>43862</v>
      </c>
      <c r="D15" s="29">
        <v>43891</v>
      </c>
      <c r="E15" s="29">
        <v>43922</v>
      </c>
      <c r="F15" s="29">
        <v>43952</v>
      </c>
      <c r="G15" s="29">
        <v>43983</v>
      </c>
      <c r="H15" s="29">
        <v>44013</v>
      </c>
      <c r="I15" s="29">
        <v>44044</v>
      </c>
      <c r="J15" s="29">
        <v>44075</v>
      </c>
      <c r="K15" s="29">
        <v>44105</v>
      </c>
      <c r="L15" s="29">
        <v>44136</v>
      </c>
      <c r="M15" s="29">
        <v>44166</v>
      </c>
      <c r="N15" s="29" t="s">
        <v>74</v>
      </c>
      <c r="S15" s="2"/>
      <c r="T15"/>
    </row>
    <row r="16" spans="1:20" x14ac:dyDescent="0.25">
      <c r="A16" s="1" t="s">
        <v>3</v>
      </c>
      <c r="B16" s="38">
        <f>COUNTIF($C$38:$C$76,$A3)</f>
        <v>8</v>
      </c>
      <c r="C16" s="38">
        <f>COUNTIF($C$83:$C$121,$A3)</f>
        <v>8</v>
      </c>
      <c r="D16" s="38">
        <f>COUNTIF($C$128:$C$166,$A3)</f>
        <v>8</v>
      </c>
      <c r="E16" s="38">
        <f>COUNTIF($C$173:$C$211,$A3)</f>
        <v>8</v>
      </c>
      <c r="F16" s="38">
        <f>COUNTIF($C$218:$C$256,$A3)</f>
        <v>8</v>
      </c>
      <c r="G16" s="38">
        <f>COUNTIF($C$263:$C$301,$A3)</f>
        <v>8</v>
      </c>
      <c r="H16" s="38">
        <f>COUNTIF($C$308:$C$346,$A3)</f>
        <v>8</v>
      </c>
      <c r="I16" s="38">
        <f>COUNTIF($C$353:$C$391,$A3)</f>
        <v>12</v>
      </c>
      <c r="J16" s="38">
        <f>COUNTIF($C$398:$C$436,$A3)</f>
        <v>17</v>
      </c>
      <c r="K16" s="38">
        <f>COUNTIF($C$443:$C$481,$A3)</f>
        <v>24</v>
      </c>
      <c r="L16" s="38">
        <f>COUNTIF($C$488:$C$526,$A3)</f>
        <v>28</v>
      </c>
      <c r="M16" s="38">
        <f>COUNTIF($C$533:$C$571,$A3)</f>
        <v>28</v>
      </c>
      <c r="N16" s="39">
        <f>AVERAGE(B16:M16)</f>
        <v>13.75</v>
      </c>
      <c r="S16" s="2"/>
      <c r="T16"/>
    </row>
    <row r="17" spans="1:20" x14ac:dyDescent="0.25">
      <c r="A17" s="1" t="s">
        <v>4</v>
      </c>
      <c r="B17" s="38">
        <f>COUNTIF($C$38:$C$76,$A4)</f>
        <v>0</v>
      </c>
      <c r="C17" s="38">
        <f>COUNTIF($C$83:$C$121,$A4)</f>
        <v>0</v>
      </c>
      <c r="D17" s="38">
        <f>COUNTIF($C$128:$C$166,$A4)</f>
        <v>0</v>
      </c>
      <c r="E17" s="38">
        <f>COUNTIF($C$173:$C$211,$A4)</f>
        <v>0</v>
      </c>
      <c r="F17" s="38">
        <f>COUNTIF($C$218:$C$256,$A4)</f>
        <v>0</v>
      </c>
      <c r="G17" s="38">
        <f>COUNTIF($C$263:$C$301,$A4)</f>
        <v>0</v>
      </c>
      <c r="H17" s="38">
        <f>COUNTIF($C$308:$C$346,$A4)</f>
        <v>0</v>
      </c>
      <c r="I17" s="38">
        <f>COUNTIF($C$353:$C$391,$A4)</f>
        <v>0</v>
      </c>
      <c r="J17" s="38">
        <f>COUNTIF($C$398:$C$436,$A4)</f>
        <v>0</v>
      </c>
      <c r="K17" s="38">
        <f>COUNTIF($C$443:$C$481,$A4)</f>
        <v>0</v>
      </c>
      <c r="L17" s="38">
        <f>COUNTIF($C$488:$C$526,$A4)</f>
        <v>0</v>
      </c>
      <c r="M17" s="38">
        <f>COUNTIF($C$533:$C$571,$A4)</f>
        <v>0</v>
      </c>
      <c r="N17" s="39">
        <f>AVERAGE(B17:M17)</f>
        <v>0</v>
      </c>
      <c r="S17" s="2"/>
      <c r="T17"/>
    </row>
    <row r="18" spans="1:20" x14ac:dyDescent="0.25">
      <c r="A18" s="1" t="s">
        <v>5</v>
      </c>
      <c r="B18" s="38">
        <f>COUNTIF($C$38:$C$76,$A5)</f>
        <v>0</v>
      </c>
      <c r="C18" s="38">
        <f>COUNTIF($C$83:$C$121,$A5)</f>
        <v>0</v>
      </c>
      <c r="D18" s="38">
        <f>COUNTIF($C$128:$C$166,$A5)</f>
        <v>0</v>
      </c>
      <c r="E18" s="38">
        <f>COUNTIF($C$173:$C$211,$A5)</f>
        <v>0</v>
      </c>
      <c r="F18" s="38">
        <f>COUNTIF($C$218:$C$256,$A5)</f>
        <v>0</v>
      </c>
      <c r="G18" s="38">
        <f>COUNTIF($C$263:$C$301,$A5)</f>
        <v>0</v>
      </c>
      <c r="H18" s="38">
        <f>COUNTIF($C$308:$C$346,$A5)</f>
        <v>0</v>
      </c>
      <c r="I18" s="38">
        <f>COUNTIF($C$353:$C$391,$A5)</f>
        <v>4</v>
      </c>
      <c r="J18" s="38">
        <f>COUNTIF($C$398:$C$436,$A5)</f>
        <v>6</v>
      </c>
      <c r="K18" s="38">
        <f>COUNTIF($C$443:$C$481,$A5)</f>
        <v>10</v>
      </c>
      <c r="L18" s="38">
        <f>COUNTIF($C$488:$C$526,$A5)</f>
        <v>10</v>
      </c>
      <c r="M18" s="38">
        <f>COUNTIF($C$533:$C$571,$A5)</f>
        <v>10</v>
      </c>
      <c r="N18" s="39">
        <f>AVERAGE(B18:M18)</f>
        <v>3.3333333333333335</v>
      </c>
      <c r="S18" s="2"/>
      <c r="T18"/>
    </row>
    <row r="19" spans="1:20" x14ac:dyDescent="0.25">
      <c r="A19" s="2" t="s">
        <v>83</v>
      </c>
      <c r="B19" s="39">
        <f>SUM(B16:B18)</f>
        <v>8</v>
      </c>
      <c r="C19" s="39">
        <f t="shared" ref="C19" si="3">SUM(C16:C18)</f>
        <v>8</v>
      </c>
      <c r="D19" s="39">
        <f t="shared" ref="D19:N19" si="4">SUM(D16:D18)</f>
        <v>8</v>
      </c>
      <c r="E19" s="39">
        <f t="shared" si="4"/>
        <v>8</v>
      </c>
      <c r="F19" s="39">
        <f t="shared" si="4"/>
        <v>8</v>
      </c>
      <c r="G19" s="39">
        <f t="shared" si="4"/>
        <v>8</v>
      </c>
      <c r="H19" s="39">
        <f t="shared" si="4"/>
        <v>8</v>
      </c>
      <c r="I19" s="39">
        <f t="shared" si="4"/>
        <v>16</v>
      </c>
      <c r="J19" s="39">
        <f t="shared" si="4"/>
        <v>23</v>
      </c>
      <c r="K19" s="39">
        <f t="shared" si="4"/>
        <v>34</v>
      </c>
      <c r="L19" s="39">
        <f t="shared" si="4"/>
        <v>38</v>
      </c>
      <c r="M19" s="39">
        <f t="shared" si="4"/>
        <v>38</v>
      </c>
      <c r="N19" s="39">
        <f t="shared" si="4"/>
        <v>17.083333333333332</v>
      </c>
      <c r="S19" s="2"/>
      <c r="T19"/>
    </row>
    <row r="20" spans="1:20" x14ac:dyDescent="0.25">
      <c r="B20" s="5"/>
      <c r="C20" s="6"/>
      <c r="D20" s="7"/>
      <c r="E20" s="7"/>
      <c r="S20" s="2"/>
      <c r="T20"/>
    </row>
    <row r="21" spans="1:20" ht="17" x14ac:dyDescent="0.25">
      <c r="A21" s="26" t="s">
        <v>33</v>
      </c>
      <c r="B21" s="24">
        <f>B15</f>
        <v>43831</v>
      </c>
      <c r="C21" s="24">
        <f t="shared" ref="C21" si="5">C15</f>
        <v>43862</v>
      </c>
      <c r="D21" s="24">
        <f t="shared" ref="D21:M21" si="6">D15</f>
        <v>43891</v>
      </c>
      <c r="E21" s="24">
        <f t="shared" si="6"/>
        <v>43922</v>
      </c>
      <c r="F21" s="24">
        <f t="shared" si="6"/>
        <v>43952</v>
      </c>
      <c r="G21" s="24">
        <f t="shared" si="6"/>
        <v>43983</v>
      </c>
      <c r="H21" s="24">
        <f t="shared" si="6"/>
        <v>44013</v>
      </c>
      <c r="I21" s="24">
        <f t="shared" si="6"/>
        <v>44044</v>
      </c>
      <c r="J21" s="24">
        <f t="shared" si="6"/>
        <v>44075</v>
      </c>
      <c r="K21" s="24">
        <f t="shared" si="6"/>
        <v>44105</v>
      </c>
      <c r="L21" s="24">
        <f t="shared" si="6"/>
        <v>44136</v>
      </c>
      <c r="M21" s="24">
        <f t="shared" si="6"/>
        <v>44166</v>
      </c>
      <c r="N21" s="24" t="s">
        <v>74</v>
      </c>
      <c r="P21"/>
    </row>
    <row r="22" spans="1:20" x14ac:dyDescent="0.25">
      <c r="A22" s="1" t="s">
        <v>3</v>
      </c>
      <c r="B22" s="114">
        <f>IFERROR(AVERAGEIF($C$38:$C$76,$A22,$E$38:$E$76),0)</f>
        <v>33.375</v>
      </c>
      <c r="C22" s="114">
        <f>IFERROR(AVERAGEIF($C$83:$C$121,$A22,$E$83:$E$121),0)</f>
        <v>33.375</v>
      </c>
      <c r="D22" s="114">
        <f>IFERROR(AVERAGEIF($C$128:$C$166,$A22,$E$128:$E$166),0)</f>
        <v>33.375</v>
      </c>
      <c r="E22" s="272">
        <f>IFERROR(AVERAGEIF($C$173:$C$211,$A22,$E$173:$E$211),0)</f>
        <v>33.375</v>
      </c>
      <c r="F22" s="272">
        <f>IFERROR(AVERAGEIF($C$218:$C$256,$A22,$E$218:$E$256),0)</f>
        <v>33.375</v>
      </c>
      <c r="G22" s="272">
        <f>IFERROR(AVERAGEIF($C$263:$C$301,$A22,$E$263:$E$301),0)</f>
        <v>33.375</v>
      </c>
      <c r="H22" s="272">
        <f>IFERROR(AVERAGEIF($C$308:$C$346,$A22,$E$308:$E$346),0)</f>
        <v>33.375</v>
      </c>
      <c r="I22" s="272">
        <f>IFERROR(AVERAGEIF($C$353:$C$391,$A22,$E$353:$E$391),0)</f>
        <v>29.583333333333332</v>
      </c>
      <c r="J22" s="272">
        <f>IFERROR(AVERAGEIF($C$398:$C$436,$A22,$E$398:$E$436),0)</f>
        <v>29.882352941176471</v>
      </c>
      <c r="K22" s="272">
        <f>IFERROR(AVERAGEIF($C$443:$C$481,$A22,$E$443:$E$481),0)</f>
        <v>26.916666666666668</v>
      </c>
      <c r="L22" s="272">
        <f>IFERROR(AVERAGEIF($C$488:$C$526,$A22,$E$488:$E$526),0)</f>
        <v>26.571428571428573</v>
      </c>
      <c r="M22" s="272">
        <f>IFERROR(AVERAGEIF($C$533:$C$571,$A22,$E$533:$E$571),0)</f>
        <v>26.571428571428573</v>
      </c>
      <c r="N22" s="224">
        <f>IFERROR(AVERAGEIF(B22:M22,"&gt;0"),0)</f>
        <v>31.09585084033613</v>
      </c>
      <c r="P22"/>
    </row>
    <row r="23" spans="1:20" x14ac:dyDescent="0.25">
      <c r="A23" s="1" t="s">
        <v>4</v>
      </c>
      <c r="B23" s="114">
        <f>IFERROR(AVERAGEIF($C$38:$C$76,$A23,$E$38:$E$76),0)</f>
        <v>0</v>
      </c>
      <c r="C23" s="114">
        <f>IFERROR(AVERAGEIF($C$83:$C$121,$A23,$E$83:$E$121),0)</f>
        <v>0</v>
      </c>
      <c r="D23" s="114">
        <f>IFERROR(AVERAGEIF($C$128:$C$166,$A23,$E$128:$E$166),0)</f>
        <v>0</v>
      </c>
      <c r="E23" s="272">
        <f>IFERROR(AVERAGEIF($C$173:$C$211,$A23,$E$173:$E$211),0)</f>
        <v>0</v>
      </c>
      <c r="F23" s="272">
        <f>IFERROR(AVERAGEIF($C$218:$C$256,$A23,$E$218:$E$256),0)</f>
        <v>0</v>
      </c>
      <c r="G23" s="272">
        <f>IFERROR(AVERAGEIF($C$263:$C$301,$A23,$E$263:$E$301),0)</f>
        <v>0</v>
      </c>
      <c r="H23" s="272">
        <f>IFERROR(AVERAGEIF($C$308:$C$346,$A23,$E$308:$E$346),0)</f>
        <v>0</v>
      </c>
      <c r="I23" s="272">
        <f>IFERROR(AVERAGEIF($C$353:$C$391,$A23,$E$353:$E$391),0)</f>
        <v>0</v>
      </c>
      <c r="J23" s="272">
        <f>IFERROR(AVERAGEIF($C$398:$C$436,$A23,$E$398:$E$436),0)</f>
        <v>0</v>
      </c>
      <c r="K23" s="272">
        <f>IFERROR(AVERAGEIF($C$443:$C$481,$A23,$E$443:$E$481),0)</f>
        <v>0</v>
      </c>
      <c r="L23" s="272">
        <f>IFERROR(AVERAGEIF($C$488:$C$526,$A23,$E$488:$E$526),0)</f>
        <v>0</v>
      </c>
      <c r="M23" s="272">
        <f>IFERROR(AVERAGEIF($C$533:$C$571,$A23,$E$533:$E$571),0)</f>
        <v>0</v>
      </c>
      <c r="N23" s="224">
        <f>IFERROR(AVERAGEIF(B23:M23,"&gt;0"),0)</f>
        <v>0</v>
      </c>
      <c r="P23"/>
    </row>
    <row r="24" spans="1:20" x14ac:dyDescent="0.25">
      <c r="A24" s="1" t="s">
        <v>5</v>
      </c>
      <c r="B24" s="114">
        <f>IFERROR(AVERAGEIF($C$38:$C$76,$A24,$E$38:$E$76),0)</f>
        <v>0</v>
      </c>
      <c r="C24" s="114">
        <f>IFERROR(AVERAGEIF($C$83:$C$121,$A24,$E$83:$E$121),0)</f>
        <v>0</v>
      </c>
      <c r="D24" s="114">
        <f>IFERROR(AVERAGEIF($C$128:$C$166,$A24,$E$128:$E$166),0)</f>
        <v>0</v>
      </c>
      <c r="E24" s="272">
        <f>IFERROR(AVERAGEIF($C$173:$C$211,$A24,$E$173:$E$211),0)</f>
        <v>0</v>
      </c>
      <c r="F24" s="272">
        <f>IFERROR(AVERAGEIF($C$218:$C$256,$A24,$E$218:$E$256),0)</f>
        <v>0</v>
      </c>
      <c r="G24" s="272">
        <f>IFERROR(AVERAGEIF($C$263:$C$301,$A24,$E$263:$E$301),0)</f>
        <v>0</v>
      </c>
      <c r="H24" s="272">
        <f>IFERROR(AVERAGEIF($C$308:$C$346,$A24,$E$308:$E$346),0)</f>
        <v>0</v>
      </c>
      <c r="I24" s="272">
        <f>IFERROR(AVERAGEIF($C$353:$C$391,$A24,$E$353:$E$391),0)</f>
        <v>8.125</v>
      </c>
      <c r="J24" s="272">
        <f>IFERROR(AVERAGEIF($C$398:$C$436,$A24,$E$398:$E$436),0)</f>
        <v>8.3333333333333339</v>
      </c>
      <c r="K24" s="272">
        <f>IFERROR(AVERAGEIF($C$443:$C$481,$A24,$E$443:$E$481),0)</f>
        <v>8</v>
      </c>
      <c r="L24" s="272">
        <f>IFERROR(AVERAGEIF($C$488:$C$526,$A24,$E$488:$E$526),0)</f>
        <v>8</v>
      </c>
      <c r="M24" s="272">
        <f>IFERROR(AVERAGEIF($C$533:$C$571,$A24,$E$533:$E$571),0)</f>
        <v>8</v>
      </c>
      <c r="N24" s="224">
        <f>IFERROR(AVERAGEIF(B24:M24,"&gt;0"),0)</f>
        <v>8.0916666666666668</v>
      </c>
      <c r="P24"/>
    </row>
    <row r="25" spans="1:20" x14ac:dyDescent="0.25">
      <c r="A25" s="2" t="s">
        <v>150</v>
      </c>
      <c r="B25" s="224">
        <f>AVERAGE(B22:B24)</f>
        <v>11.125</v>
      </c>
      <c r="C25" s="224">
        <f t="shared" ref="C25" si="7">AVERAGE(C22:C24)</f>
        <v>11.125</v>
      </c>
      <c r="D25" s="224">
        <f t="shared" ref="D25:M25" si="8">AVERAGE(D22:D24)</f>
        <v>11.125</v>
      </c>
      <c r="E25" s="224">
        <f t="shared" si="8"/>
        <v>11.125</v>
      </c>
      <c r="F25" s="224">
        <f t="shared" si="8"/>
        <v>11.125</v>
      </c>
      <c r="G25" s="224">
        <f t="shared" si="8"/>
        <v>11.125</v>
      </c>
      <c r="H25" s="224">
        <f t="shared" si="8"/>
        <v>11.125</v>
      </c>
      <c r="I25" s="224">
        <f t="shared" si="8"/>
        <v>12.569444444444443</v>
      </c>
      <c r="J25" s="224">
        <f t="shared" si="8"/>
        <v>12.738562091503269</v>
      </c>
      <c r="K25" s="224">
        <f t="shared" si="8"/>
        <v>11.638888888888891</v>
      </c>
      <c r="L25" s="224">
        <f t="shared" si="8"/>
        <v>11.523809523809524</v>
      </c>
      <c r="M25" s="224">
        <f t="shared" si="8"/>
        <v>11.523809523809524</v>
      </c>
      <c r="N25" s="224">
        <f>IFERROR(AVERAGEIF(B25:M25,"&gt;0"),0)</f>
        <v>11.489126206037971</v>
      </c>
      <c r="P25"/>
    </row>
    <row r="26" spans="1:20" x14ac:dyDescent="0.25">
      <c r="B26" s="35"/>
      <c r="C26" s="35"/>
      <c r="D26" s="35"/>
      <c r="E26" s="40"/>
      <c r="F26" s="40"/>
      <c r="G26" s="40"/>
      <c r="H26" s="40"/>
      <c r="I26" s="40"/>
      <c r="J26" s="40"/>
      <c r="K26" s="40"/>
      <c r="L26" s="40"/>
      <c r="M26" s="40"/>
      <c r="N26" s="36"/>
      <c r="P26"/>
    </row>
    <row r="27" spans="1:20" ht="17" x14ac:dyDescent="0.25">
      <c r="A27" s="61" t="s">
        <v>629</v>
      </c>
      <c r="B27" s="62">
        <f>B21</f>
        <v>43831</v>
      </c>
      <c r="C27" s="62">
        <f t="shared" ref="C27" si="9">C21</f>
        <v>43862</v>
      </c>
      <c r="D27" s="62">
        <f t="shared" ref="D27:M27" si="10">D21</f>
        <v>43891</v>
      </c>
      <c r="E27" s="62">
        <f t="shared" si="10"/>
        <v>43922</v>
      </c>
      <c r="F27" s="62">
        <f t="shared" si="10"/>
        <v>43952</v>
      </c>
      <c r="G27" s="62">
        <f t="shared" si="10"/>
        <v>43983</v>
      </c>
      <c r="H27" s="62">
        <f t="shared" si="10"/>
        <v>44013</v>
      </c>
      <c r="I27" s="62">
        <f t="shared" si="10"/>
        <v>44044</v>
      </c>
      <c r="J27" s="62">
        <f t="shared" si="10"/>
        <v>44075</v>
      </c>
      <c r="K27" s="62">
        <f t="shared" si="10"/>
        <v>44105</v>
      </c>
      <c r="L27" s="62">
        <f t="shared" si="10"/>
        <v>44136</v>
      </c>
      <c r="M27" s="62">
        <f t="shared" si="10"/>
        <v>44166</v>
      </c>
      <c r="N27" s="62" t="s">
        <v>74</v>
      </c>
      <c r="P27"/>
    </row>
    <row r="28" spans="1:20" x14ac:dyDescent="0.25">
      <c r="A28" s="1" t="s">
        <v>3</v>
      </c>
      <c r="B28" s="114">
        <f>SUMIF($C$38:$C$76,$A28,$G$38:$G$76)</f>
        <v>49128</v>
      </c>
      <c r="C28" s="114">
        <f>SUMIF($C$83:$C$121,$A28,$G$83:$G$121)</f>
        <v>42720</v>
      </c>
      <c r="D28" s="114">
        <f>SUMIF($C$128:$C$166,$A28,$G$128:$G$166)</f>
        <v>46992</v>
      </c>
      <c r="E28" s="114">
        <f>SUMIF($C$173:$C$211,$A28,$G$173:$G$211)</f>
        <v>46992</v>
      </c>
      <c r="F28" s="114">
        <f>SUMIF($C$218:$C$256,$A28,$G$218:$G$256)</f>
        <v>44856</v>
      </c>
      <c r="G28" s="114">
        <f>SUMIF($C$263:$C$301,$A28,$G$263:$G$301)</f>
        <v>46992</v>
      </c>
      <c r="H28" s="114">
        <f>SUMIF($C$308:$C$346,$A28,$G$308:$G$346)</f>
        <v>49128</v>
      </c>
      <c r="I28" s="114">
        <f>SUMIF($C$353:$C$391,$A28,$G$353:$G$391)</f>
        <v>59640</v>
      </c>
      <c r="J28" s="114">
        <f>SUMIF($C$398:$C$436,$A28,$G$398:$G$436)</f>
        <v>89568</v>
      </c>
      <c r="K28" s="114">
        <f>SUMIF($C$443:$C$481,$A28,$G$443:$G$481)</f>
        <v>113696</v>
      </c>
      <c r="L28" s="114">
        <f>SUMIF($C$488:$C$526,$A28,$G$488:$G$526)</f>
        <v>125920</v>
      </c>
      <c r="M28" s="114">
        <f>SUMIF($C$533:$C$571,$A28,$G$533:$G$571)</f>
        <v>136896</v>
      </c>
      <c r="N28" s="224">
        <f>SUM(B28:M28)</f>
        <v>852528</v>
      </c>
      <c r="P28"/>
    </row>
    <row r="29" spans="1:20" x14ac:dyDescent="0.25">
      <c r="A29" s="1" t="s">
        <v>4</v>
      </c>
      <c r="B29" s="114">
        <f>SUMIF($C$38:$C$76,$A29,$G$38:$G$76)</f>
        <v>0</v>
      </c>
      <c r="C29" s="114">
        <f>SUMIF($C$83:$C$121,$A29,$L$83:$L$121)</f>
        <v>0</v>
      </c>
      <c r="D29" s="114">
        <f>SUMIF($C$128:$C$166,$A29,$L$128:$L$166)</f>
        <v>0</v>
      </c>
      <c r="E29" s="114">
        <f>SUMIF($C$173:$C$211,$A29,$L$173:$L$211)</f>
        <v>0</v>
      </c>
      <c r="F29" s="114">
        <f>SUMIF($C$218:$C$256,$A29,$L$218:$L$256)</f>
        <v>0</v>
      </c>
      <c r="G29" s="114">
        <f>SUMIF($C$263:$C$301,$A29,$L$263:$L$301)</f>
        <v>0</v>
      </c>
      <c r="H29" s="114">
        <f>SUMIF($C$308:$C$346,$A29,$L$308:$L$346)</f>
        <v>0</v>
      </c>
      <c r="I29" s="114">
        <f>SUMIF($C$353:$C$391,$A29,$L$353:$L$391)</f>
        <v>0</v>
      </c>
      <c r="J29" s="114">
        <f>SUMIF($C$398:$C$436,$A29,$L$398:$L$436)</f>
        <v>0</v>
      </c>
      <c r="K29" s="114">
        <f>SUMIF($C$443:$C$481,$A29,$L$443:$L$481)</f>
        <v>0</v>
      </c>
      <c r="L29" s="114">
        <f>SUMIF($C$488:$C$526,$A29,$L$488:$L$526)</f>
        <v>0</v>
      </c>
      <c r="M29" s="114">
        <f>SUMIF($C$533:$C$571,$A29,$L$533:$L$571)</f>
        <v>0</v>
      </c>
      <c r="N29" s="224">
        <f>SUM(B29:M29)</f>
        <v>0</v>
      </c>
      <c r="P29"/>
    </row>
    <row r="30" spans="1:20" x14ac:dyDescent="0.25">
      <c r="A30" s="1" t="s">
        <v>5</v>
      </c>
      <c r="B30" s="114">
        <f>SUMIF($C$38:$C$76,$A30,$G$38:$G$76)</f>
        <v>0</v>
      </c>
      <c r="C30" s="114">
        <f>SUMIF($C$83:$C$121,$A30,$L$83:$L$121)</f>
        <v>0</v>
      </c>
      <c r="D30" s="114">
        <f>SUMIF($C$128:$C$166,$A30,$L$128:$L$166)</f>
        <v>0</v>
      </c>
      <c r="E30" s="114">
        <f>SUMIF($C$173:$C$211,$A30,$L$173:$L$211)</f>
        <v>0</v>
      </c>
      <c r="F30" s="114">
        <f>SUMIF($C$218:$C$256,$A30,$L$218:$L$256)</f>
        <v>0</v>
      </c>
      <c r="G30" s="114">
        <f>SUMIF($C$263:$C$301,$A30,$L$263:$L$301)</f>
        <v>0</v>
      </c>
      <c r="H30" s="114">
        <f>SUMIF($C$308:$C$346,$A30,$L$308:$L$346)</f>
        <v>0</v>
      </c>
      <c r="I30" s="114">
        <f>SUMIF($C$353:$C$391,$A30,$L$353:$L$391)</f>
        <v>5460</v>
      </c>
      <c r="J30" s="114">
        <f>SUMIF($C$398:$C$436,$A30,$L$398:$L$436)</f>
        <v>8800</v>
      </c>
      <c r="K30" s="114">
        <f>SUMIF($C$443:$C$481,$A30,$L$443:$L$481)</f>
        <v>14080</v>
      </c>
      <c r="L30" s="114">
        <f>SUMIF($C$488:$C$526,$A30,$L$488:$L$526)</f>
        <v>13440</v>
      </c>
      <c r="M30" s="114">
        <f>SUMIF($C$533:$C$571,$A30,$L$533:$L$571)</f>
        <v>14720</v>
      </c>
      <c r="N30" s="224">
        <f>SUM(B30:M30)</f>
        <v>56500</v>
      </c>
      <c r="P30"/>
    </row>
    <row r="31" spans="1:20" x14ac:dyDescent="0.25">
      <c r="A31" s="2" t="s">
        <v>83</v>
      </c>
      <c r="B31" s="224">
        <f>SUM(B28:B30)</f>
        <v>49128</v>
      </c>
      <c r="C31" s="224">
        <f t="shared" ref="C31" si="11">SUM(C28:C30)</f>
        <v>42720</v>
      </c>
      <c r="D31" s="224">
        <f t="shared" ref="D31:M31" si="12">SUM(D28:D30)</f>
        <v>46992</v>
      </c>
      <c r="E31" s="224">
        <f t="shared" si="12"/>
        <v>46992</v>
      </c>
      <c r="F31" s="224">
        <f t="shared" si="12"/>
        <v>44856</v>
      </c>
      <c r="G31" s="224">
        <f t="shared" si="12"/>
        <v>46992</v>
      </c>
      <c r="H31" s="224">
        <f t="shared" si="12"/>
        <v>49128</v>
      </c>
      <c r="I31" s="224">
        <f t="shared" si="12"/>
        <v>65100</v>
      </c>
      <c r="J31" s="224">
        <f t="shared" si="12"/>
        <v>98368</v>
      </c>
      <c r="K31" s="224">
        <f t="shared" si="12"/>
        <v>127776</v>
      </c>
      <c r="L31" s="224">
        <f t="shared" si="12"/>
        <v>139360</v>
      </c>
      <c r="M31" s="224">
        <f t="shared" si="12"/>
        <v>151616</v>
      </c>
      <c r="N31" s="224">
        <f>SUM(B31:M31)</f>
        <v>909028</v>
      </c>
      <c r="P31"/>
    </row>
    <row r="32" spans="1:20" x14ac:dyDescent="0.25">
      <c r="A32" s="1" t="s">
        <v>115</v>
      </c>
      <c r="B32" s="114">
        <f>M77</f>
        <v>0</v>
      </c>
      <c r="C32" s="114">
        <f>M122</f>
        <v>0</v>
      </c>
      <c r="D32" s="114">
        <f>M167</f>
        <v>0</v>
      </c>
      <c r="E32" s="114">
        <f>M212</f>
        <v>0</v>
      </c>
      <c r="F32" s="114">
        <f>M257</f>
        <v>0</v>
      </c>
      <c r="G32" s="114">
        <f>M302</f>
        <v>0</v>
      </c>
      <c r="H32" s="114">
        <f>M347</f>
        <v>0</v>
      </c>
      <c r="I32" s="114">
        <f>M392</f>
        <v>0</v>
      </c>
      <c r="J32" s="114">
        <f>M437</f>
        <v>0</v>
      </c>
      <c r="K32" s="114">
        <f>M482</f>
        <v>0</v>
      </c>
      <c r="L32" s="114">
        <f>M527</f>
        <v>0</v>
      </c>
      <c r="M32" s="114">
        <f>M572</f>
        <v>0</v>
      </c>
      <c r="N32" s="224">
        <f>SUM(B32:M32)</f>
        <v>0</v>
      </c>
      <c r="P32"/>
    </row>
    <row r="33" spans="1:20" x14ac:dyDescent="0.25">
      <c r="B33" s="5"/>
      <c r="C33" s="6"/>
      <c r="D33" s="6"/>
      <c r="E33" s="7"/>
      <c r="F33" s="7"/>
      <c r="S33" s="2"/>
      <c r="T33"/>
    </row>
    <row r="34" spans="1:20" x14ac:dyDescent="0.25">
      <c r="A34" s="9" t="s">
        <v>82</v>
      </c>
      <c r="B34" s="9"/>
      <c r="C34" s="21"/>
      <c r="D34" s="21"/>
      <c r="E34" s="22"/>
      <c r="F34" s="22"/>
      <c r="G34" s="22"/>
      <c r="H34" s="22"/>
      <c r="I34" s="21"/>
      <c r="J34" s="9"/>
      <c r="K34" s="9"/>
      <c r="L34" s="9"/>
      <c r="M34" s="9"/>
      <c r="N34" s="9"/>
      <c r="Q34"/>
      <c r="R34"/>
      <c r="S34"/>
      <c r="T34"/>
    </row>
    <row r="35" spans="1:20" x14ac:dyDescent="0.25">
      <c r="A35" s="2" t="s">
        <v>21</v>
      </c>
      <c r="B35" s="1" t="s">
        <v>17</v>
      </c>
      <c r="C35" s="20">
        <v>43831</v>
      </c>
      <c r="D35" s="1" t="s">
        <v>18</v>
      </c>
      <c r="E35" s="20">
        <v>43861</v>
      </c>
      <c r="F35" s="1" t="s">
        <v>42</v>
      </c>
      <c r="G35" s="1">
        <f>NETWORKDAYS(C35,E35)</f>
        <v>23</v>
      </c>
      <c r="Q35"/>
      <c r="R35"/>
      <c r="S35"/>
      <c r="T35"/>
    </row>
    <row r="36" spans="1:20" ht="55" customHeight="1" outlineLevel="1" x14ac:dyDescent="0.25">
      <c r="A36" s="11" t="s">
        <v>2</v>
      </c>
      <c r="B36" s="10" t="s">
        <v>12</v>
      </c>
      <c r="C36" s="10" t="s">
        <v>1</v>
      </c>
      <c r="D36" s="10" t="s">
        <v>483</v>
      </c>
      <c r="E36" s="10" t="s">
        <v>13</v>
      </c>
      <c r="F36" s="10" t="s">
        <v>15</v>
      </c>
      <c r="G36" s="10" t="s">
        <v>210</v>
      </c>
      <c r="H36" s="10" t="s">
        <v>208</v>
      </c>
      <c r="I36" s="10" t="s">
        <v>209</v>
      </c>
      <c r="J36" s="10" t="s">
        <v>131</v>
      </c>
      <c r="K36" s="10"/>
      <c r="L36" s="10" t="s">
        <v>14</v>
      </c>
      <c r="M36" s="10" t="s">
        <v>11</v>
      </c>
      <c r="N36" s="10" t="s">
        <v>20</v>
      </c>
      <c r="Q36"/>
      <c r="R36"/>
      <c r="S36"/>
      <c r="T36"/>
    </row>
    <row r="37" spans="1:20" ht="17" outlineLevel="1" thickBot="1" x14ac:dyDescent="0.3">
      <c r="A37" s="12"/>
      <c r="B37" s="13"/>
      <c r="C37" s="13"/>
      <c r="D37" s="13"/>
      <c r="E37" s="13"/>
      <c r="F37" s="13"/>
      <c r="G37" s="314">
        <f>H37+I37+J37</f>
        <v>0.20800000000000002</v>
      </c>
      <c r="H37" s="315">
        <f>IF($G$8="Oui",('Payroll 2020-2024'!$H$12)*(1-$H$8),'Payroll 2020-2024'!$H$12)</f>
        <v>8.0000000000000016E-2</v>
      </c>
      <c r="I37" s="315">
        <f>IF($G$8="Oui",('Payroll 2020-2024'!$I$12)*(1-$H$8),'Payroll 2020-2024'!$I$12)</f>
        <v>4.8000000000000001E-2</v>
      </c>
      <c r="J37" s="315">
        <f>IF($G$8="Oui",('Payroll 2020-2024'!$J$12)*(1-$H$8),'Payroll 2020-2024'!$J$12)</f>
        <v>8.0000000000000016E-2</v>
      </c>
      <c r="K37" s="14"/>
      <c r="L37" s="15"/>
      <c r="M37" s="14">
        <f>'Payroll 2020-2024'!$L$12</f>
        <v>0.1</v>
      </c>
      <c r="N37" s="15"/>
    </row>
    <row r="38" spans="1:20" outlineLevel="1" x14ac:dyDescent="0.25">
      <c r="A38" s="18" t="s">
        <v>178</v>
      </c>
      <c r="B38" s="63">
        <v>1</v>
      </c>
      <c r="C38" s="5" t="s">
        <v>3</v>
      </c>
      <c r="D38" s="5" t="s">
        <v>484</v>
      </c>
      <c r="E38" s="308">
        <v>48</v>
      </c>
      <c r="F38" s="45">
        <f t="shared" ref="F38:F76" si="13">IF(C38=$A$3,$C$3*NETWORKDAYS($C$35,$E$35),0)</f>
        <v>184</v>
      </c>
      <c r="G38" s="303">
        <f>IFERROR(E38*F38,0)</f>
        <v>8832</v>
      </c>
      <c r="H38" s="114">
        <f>IFERROR(G38*$H$37,0)</f>
        <v>706.56000000000017</v>
      </c>
      <c r="I38" s="114">
        <f>IFERROR(G38*$I$37,0)</f>
        <v>423.93600000000004</v>
      </c>
      <c r="J38" s="114">
        <f t="shared" ref="J38:J76" si="14">IF(C38=$A$3,G38*$J$37,0)</f>
        <v>706.56000000000017</v>
      </c>
      <c r="K38" s="114">
        <f t="shared" ref="K38:K76" si="15">IF(C38=$A$3,G38*$K$37,0)</f>
        <v>0</v>
      </c>
      <c r="L38" s="224">
        <f>IFERROR(G38-SUM(H38:K38),0)</f>
        <v>6994.9439999999995</v>
      </c>
      <c r="M38" s="272">
        <f>IFERROR(IF('Payroll 2020'!C38='Payroll 2020'!$A$3,IF('Income Statement 2020'!$C$22&gt;0,'Income Statement 2020'!$C$22*0.1*('Payroll 2020'!G38/SUMIF($C$38:$C$76,$A$3,$G$38:$G$76)),0),0),0)</f>
        <v>0</v>
      </c>
      <c r="N38" s="224">
        <f>IFERROR(L38+M38,"")</f>
        <v>6994.9439999999995</v>
      </c>
    </row>
    <row r="39" spans="1:20" outlineLevel="1" x14ac:dyDescent="0.25">
      <c r="A39" s="18" t="s">
        <v>179</v>
      </c>
      <c r="B39" s="63">
        <v>2</v>
      </c>
      <c r="C39" s="5" t="s">
        <v>3</v>
      </c>
      <c r="D39" s="5" t="s">
        <v>484</v>
      </c>
      <c r="E39" s="308">
        <v>45</v>
      </c>
      <c r="F39" s="45">
        <f t="shared" si="13"/>
        <v>184</v>
      </c>
      <c r="G39" s="303">
        <f t="shared" ref="G39:G76" si="16">IFERROR(E39*F39,0)</f>
        <v>8280</v>
      </c>
      <c r="H39" s="114">
        <f t="shared" ref="H39:H76" si="17">IFERROR(G39*$H$37,0)</f>
        <v>662.40000000000009</v>
      </c>
      <c r="I39" s="114">
        <f t="shared" ref="I39:I76" si="18">IFERROR(G39*$I$37,0)</f>
        <v>397.44</v>
      </c>
      <c r="J39" s="114">
        <f t="shared" si="14"/>
        <v>662.40000000000009</v>
      </c>
      <c r="K39" s="114">
        <f t="shared" si="15"/>
        <v>0</v>
      </c>
      <c r="L39" s="224">
        <f t="shared" ref="L39:L76" si="19">IFERROR(G39-SUM(H39:K39),0)</f>
        <v>6557.76</v>
      </c>
      <c r="M39" s="272">
        <f>IFERROR(IF('Payroll 2020'!C39='Payroll 2020'!$A$3,IF('Income Statement 2020'!$C$22&gt;0,'Income Statement 2020'!$C$22*0.1*('Payroll 2020'!G39/SUMIF($C$38:$C$76,$A$3,$G$38:$G$76)),0),0),0)</f>
        <v>0</v>
      </c>
      <c r="N39" s="224">
        <f t="shared" ref="N39:N76" si="20">IFERROR(L39+M39,"")</f>
        <v>6557.76</v>
      </c>
    </row>
    <row r="40" spans="1:20" outlineLevel="1" x14ac:dyDescent="0.25">
      <c r="A40" s="18" t="s">
        <v>180</v>
      </c>
      <c r="B40" s="63">
        <v>3</v>
      </c>
      <c r="C40" s="5" t="s">
        <v>3</v>
      </c>
      <c r="D40" s="5" t="s">
        <v>484</v>
      </c>
      <c r="E40" s="308">
        <v>37</v>
      </c>
      <c r="F40" s="45">
        <f t="shared" si="13"/>
        <v>184</v>
      </c>
      <c r="G40" s="303">
        <f t="shared" si="16"/>
        <v>6808</v>
      </c>
      <c r="H40" s="114">
        <f t="shared" si="17"/>
        <v>544.6400000000001</v>
      </c>
      <c r="I40" s="114">
        <f t="shared" si="18"/>
        <v>326.78399999999999</v>
      </c>
      <c r="J40" s="114">
        <f t="shared" si="14"/>
        <v>544.6400000000001</v>
      </c>
      <c r="K40" s="114">
        <f t="shared" si="15"/>
        <v>0</v>
      </c>
      <c r="L40" s="224">
        <f t="shared" si="19"/>
        <v>5391.9359999999997</v>
      </c>
      <c r="M40" s="272">
        <f>IFERROR(IF('Payroll 2020'!C40='Payroll 2020'!$A$3,IF('Income Statement 2020'!$C$22&gt;0,'Income Statement 2020'!$C$22*0.1*('Payroll 2020'!G40/SUMIF($C$38:$C$76,$A$3,$G$38:$G$76)),0),0),0)</f>
        <v>0</v>
      </c>
      <c r="N40" s="224">
        <f t="shared" si="20"/>
        <v>5391.9359999999997</v>
      </c>
    </row>
    <row r="41" spans="1:20" outlineLevel="1" x14ac:dyDescent="0.25">
      <c r="A41" s="18" t="s">
        <v>181</v>
      </c>
      <c r="B41" s="63">
        <v>4</v>
      </c>
      <c r="C41" s="5" t="s">
        <v>3</v>
      </c>
      <c r="D41" s="5" t="s">
        <v>485</v>
      </c>
      <c r="E41" s="308">
        <v>23</v>
      </c>
      <c r="F41" s="45">
        <f t="shared" si="13"/>
        <v>184</v>
      </c>
      <c r="G41" s="303">
        <f t="shared" si="16"/>
        <v>4232</v>
      </c>
      <c r="H41" s="114">
        <f t="shared" si="17"/>
        <v>338.56000000000006</v>
      </c>
      <c r="I41" s="114">
        <f t="shared" si="18"/>
        <v>203.136</v>
      </c>
      <c r="J41" s="114">
        <f t="shared" si="14"/>
        <v>338.56000000000006</v>
      </c>
      <c r="K41" s="114">
        <f t="shared" si="15"/>
        <v>0</v>
      </c>
      <c r="L41" s="224">
        <f t="shared" si="19"/>
        <v>3351.7439999999997</v>
      </c>
      <c r="M41" s="272">
        <f>IFERROR(IF('Payroll 2020'!C41='Payroll 2020'!$A$3,IF('Income Statement 2020'!$C$22&gt;0,'Income Statement 2020'!$C$22*0.1*('Payroll 2020'!G41/SUMIF($C$38:$C$76,$A$3,$G$38:$G$76)),0),0),0)</f>
        <v>0</v>
      </c>
      <c r="N41" s="224">
        <f t="shared" si="20"/>
        <v>3351.7439999999997</v>
      </c>
    </row>
    <row r="42" spans="1:20" outlineLevel="1" x14ac:dyDescent="0.25">
      <c r="A42" s="18" t="s">
        <v>182</v>
      </c>
      <c r="B42" s="63">
        <v>5</v>
      </c>
      <c r="C42" s="5" t="s">
        <v>3</v>
      </c>
      <c r="D42" s="5" t="s">
        <v>486</v>
      </c>
      <c r="E42" s="308">
        <v>40</v>
      </c>
      <c r="F42" s="45">
        <f t="shared" si="13"/>
        <v>184</v>
      </c>
      <c r="G42" s="303">
        <f t="shared" si="16"/>
        <v>7360</v>
      </c>
      <c r="H42" s="114">
        <f t="shared" si="17"/>
        <v>588.80000000000007</v>
      </c>
      <c r="I42" s="114">
        <f t="shared" si="18"/>
        <v>353.28000000000003</v>
      </c>
      <c r="J42" s="114">
        <f t="shared" si="14"/>
        <v>588.80000000000007</v>
      </c>
      <c r="K42" s="114">
        <f t="shared" si="15"/>
        <v>0</v>
      </c>
      <c r="L42" s="224">
        <f t="shared" si="19"/>
        <v>5829.12</v>
      </c>
      <c r="M42" s="272">
        <f>IFERROR(IF('Payroll 2020'!C42='Payroll 2020'!$A$3,IF('Income Statement 2020'!$C$22&gt;0,'Income Statement 2020'!$C$22*0.1*('Payroll 2020'!G42/SUMIF($C$38:$C$76,$A$3,$G$38:$G$76)),0),0),0)</f>
        <v>0</v>
      </c>
      <c r="N42" s="224">
        <f t="shared" si="20"/>
        <v>5829.12</v>
      </c>
    </row>
    <row r="43" spans="1:20" outlineLevel="1" x14ac:dyDescent="0.25">
      <c r="A43" s="18" t="s">
        <v>183</v>
      </c>
      <c r="B43" s="63">
        <v>6</v>
      </c>
      <c r="C43" s="5" t="s">
        <v>3</v>
      </c>
      <c r="D43" s="5" t="s">
        <v>486</v>
      </c>
      <c r="E43" s="308">
        <v>28</v>
      </c>
      <c r="F43" s="45">
        <f t="shared" si="13"/>
        <v>184</v>
      </c>
      <c r="G43" s="303">
        <f t="shared" si="16"/>
        <v>5152</v>
      </c>
      <c r="H43" s="114">
        <f t="shared" si="17"/>
        <v>412.16000000000008</v>
      </c>
      <c r="I43" s="114">
        <f t="shared" si="18"/>
        <v>247.29599999999999</v>
      </c>
      <c r="J43" s="114">
        <f t="shared" si="14"/>
        <v>412.16000000000008</v>
      </c>
      <c r="K43" s="114">
        <f t="shared" si="15"/>
        <v>0</v>
      </c>
      <c r="L43" s="224">
        <f t="shared" si="19"/>
        <v>4080.384</v>
      </c>
      <c r="M43" s="272">
        <f>IFERROR(IF('Payroll 2020'!C43='Payroll 2020'!$A$3,IF('Income Statement 2020'!$C$22&gt;0,'Income Statement 2020'!$C$22*0.1*('Payroll 2020'!G43/SUMIF($C$38:$C$76,$A$3,$G$38:$G$76)),0),0),0)</f>
        <v>0</v>
      </c>
      <c r="N43" s="224">
        <f t="shared" si="20"/>
        <v>4080.384</v>
      </c>
    </row>
    <row r="44" spans="1:20" outlineLevel="1" x14ac:dyDescent="0.25">
      <c r="A44" s="18" t="s">
        <v>183</v>
      </c>
      <c r="B44" s="63">
        <v>7</v>
      </c>
      <c r="C44" s="5" t="s">
        <v>3</v>
      </c>
      <c r="D44" s="5" t="s">
        <v>486</v>
      </c>
      <c r="E44" s="308">
        <v>23</v>
      </c>
      <c r="F44" s="45">
        <f t="shared" si="13"/>
        <v>184</v>
      </c>
      <c r="G44" s="303">
        <f t="shared" si="16"/>
        <v>4232</v>
      </c>
      <c r="H44" s="114">
        <f t="shared" si="17"/>
        <v>338.56000000000006</v>
      </c>
      <c r="I44" s="114">
        <f t="shared" si="18"/>
        <v>203.136</v>
      </c>
      <c r="J44" s="114">
        <f t="shared" si="14"/>
        <v>338.56000000000006</v>
      </c>
      <c r="K44" s="114">
        <f t="shared" si="15"/>
        <v>0</v>
      </c>
      <c r="L44" s="224">
        <f t="shared" si="19"/>
        <v>3351.7439999999997</v>
      </c>
      <c r="M44" s="272">
        <f>IFERROR(IF('Payroll 2020'!C44='Payroll 2020'!$A$3,IF('Income Statement 2020'!$C$22&gt;0,'Income Statement 2020'!$C$22*0.1*('Payroll 2020'!G44/SUMIF($C$38:$C$76,$A$3,$G$38:$G$76)),0),0),0)</f>
        <v>0</v>
      </c>
      <c r="N44" s="224">
        <f t="shared" si="20"/>
        <v>3351.7439999999997</v>
      </c>
    </row>
    <row r="45" spans="1:20" outlineLevel="1" x14ac:dyDescent="0.25">
      <c r="A45" s="18" t="s">
        <v>183</v>
      </c>
      <c r="B45" s="63">
        <v>8</v>
      </c>
      <c r="C45" s="5" t="s">
        <v>3</v>
      </c>
      <c r="D45" s="5" t="s">
        <v>486</v>
      </c>
      <c r="E45" s="308">
        <v>23</v>
      </c>
      <c r="F45" s="45">
        <f t="shared" si="13"/>
        <v>184</v>
      </c>
      <c r="G45" s="303">
        <f t="shared" si="16"/>
        <v>4232</v>
      </c>
      <c r="H45" s="114">
        <f t="shared" si="17"/>
        <v>338.56000000000006</v>
      </c>
      <c r="I45" s="114">
        <f t="shared" si="18"/>
        <v>203.136</v>
      </c>
      <c r="J45" s="114">
        <f t="shared" si="14"/>
        <v>338.56000000000006</v>
      </c>
      <c r="K45" s="114">
        <f t="shared" si="15"/>
        <v>0</v>
      </c>
      <c r="L45" s="224">
        <f t="shared" si="19"/>
        <v>3351.7439999999997</v>
      </c>
      <c r="M45" s="272">
        <f>IFERROR(IF('Payroll 2020'!C45='Payroll 2020'!$A$3,IF('Income Statement 2020'!$C$22&gt;0,'Income Statement 2020'!$C$22*0.1*('Payroll 2020'!G45/SUMIF($C$38:$C$76,$A$3,$G$38:$G$76)),0),0),0)</f>
        <v>0</v>
      </c>
      <c r="N45" s="224">
        <f t="shared" si="20"/>
        <v>3351.7439999999997</v>
      </c>
    </row>
    <row r="46" spans="1:20" outlineLevel="1" x14ac:dyDescent="0.25">
      <c r="A46" s="18"/>
      <c r="B46" s="63">
        <v>9</v>
      </c>
      <c r="C46" s="5"/>
      <c r="D46" s="5"/>
      <c r="E46" s="308"/>
      <c r="F46" s="45">
        <f t="shared" si="13"/>
        <v>0</v>
      </c>
      <c r="G46" s="303">
        <f t="shared" si="16"/>
        <v>0</v>
      </c>
      <c r="H46" s="114">
        <f t="shared" si="17"/>
        <v>0</v>
      </c>
      <c r="I46" s="114">
        <f t="shared" si="18"/>
        <v>0</v>
      </c>
      <c r="J46" s="114">
        <f t="shared" si="14"/>
        <v>0</v>
      </c>
      <c r="K46" s="114">
        <f t="shared" si="15"/>
        <v>0</v>
      </c>
      <c r="L46" s="224">
        <f t="shared" si="19"/>
        <v>0</v>
      </c>
      <c r="M46" s="272">
        <f>IFERROR(IF('Payroll 2020'!C46='Payroll 2020'!$A$3,IF('Income Statement 2020'!$C$22&gt;0,'Income Statement 2020'!$C$22*0.1*('Payroll 2020'!G46/SUMIF($C$38:$C$76,$A$3,$G$38:$G$76)),0),0),0)</f>
        <v>0</v>
      </c>
      <c r="N46" s="224">
        <f t="shared" si="20"/>
        <v>0</v>
      </c>
    </row>
    <row r="47" spans="1:20" outlineLevel="1" x14ac:dyDescent="0.25">
      <c r="A47" s="18"/>
      <c r="B47" s="63">
        <v>10</v>
      </c>
      <c r="C47" s="5"/>
      <c r="D47" s="5"/>
      <c r="E47" s="308"/>
      <c r="F47" s="45">
        <f t="shared" si="13"/>
        <v>0</v>
      </c>
      <c r="G47" s="303">
        <f t="shared" si="16"/>
        <v>0</v>
      </c>
      <c r="H47" s="114">
        <f t="shared" si="17"/>
        <v>0</v>
      </c>
      <c r="I47" s="114">
        <f t="shared" si="18"/>
        <v>0</v>
      </c>
      <c r="J47" s="114">
        <f t="shared" si="14"/>
        <v>0</v>
      </c>
      <c r="K47" s="114">
        <f t="shared" si="15"/>
        <v>0</v>
      </c>
      <c r="L47" s="224">
        <f t="shared" si="19"/>
        <v>0</v>
      </c>
      <c r="M47" s="272">
        <f>IFERROR(IF('Payroll 2020'!C47='Payroll 2020'!$A$3,IF('Income Statement 2020'!$C$22&gt;0,'Income Statement 2020'!$C$22*0.1*('Payroll 2020'!G47/SUMIF($C$38:$C$76,$A$3,$G$38:$G$76)),0),0),0)</f>
        <v>0</v>
      </c>
      <c r="N47" s="224">
        <f t="shared" si="20"/>
        <v>0</v>
      </c>
    </row>
    <row r="48" spans="1:20" outlineLevel="1" x14ac:dyDescent="0.25">
      <c r="A48" s="18"/>
      <c r="B48" s="63">
        <v>11</v>
      </c>
      <c r="E48" s="308"/>
      <c r="F48" s="45">
        <f t="shared" si="13"/>
        <v>0</v>
      </c>
      <c r="G48" s="303">
        <f t="shared" si="16"/>
        <v>0</v>
      </c>
      <c r="H48" s="114">
        <f t="shared" si="17"/>
        <v>0</v>
      </c>
      <c r="I48" s="114">
        <f t="shared" si="18"/>
        <v>0</v>
      </c>
      <c r="J48" s="114">
        <f t="shared" si="14"/>
        <v>0</v>
      </c>
      <c r="K48" s="114">
        <f t="shared" si="15"/>
        <v>0</v>
      </c>
      <c r="L48" s="224">
        <f t="shared" si="19"/>
        <v>0</v>
      </c>
      <c r="M48" s="272">
        <f>IFERROR(IF('Payroll 2020'!C48='Payroll 2020'!$A$3,IF('Income Statement 2020'!$C$22&gt;0,'Income Statement 2020'!$C$22*0.1*('Payroll 2020'!G48/SUMIF($C$38:$C$76,$A$3,$G$38:$G$76)),0),0),0)</f>
        <v>0</v>
      </c>
      <c r="N48" s="224">
        <f t="shared" si="20"/>
        <v>0</v>
      </c>
    </row>
    <row r="49" spans="1:14" outlineLevel="1" x14ac:dyDescent="0.25">
      <c r="A49" s="18"/>
      <c r="B49" s="63">
        <v>12</v>
      </c>
      <c r="E49" s="308"/>
      <c r="F49" s="45">
        <f t="shared" si="13"/>
        <v>0</v>
      </c>
      <c r="G49" s="303">
        <f t="shared" si="16"/>
        <v>0</v>
      </c>
      <c r="H49" s="114">
        <f t="shared" si="17"/>
        <v>0</v>
      </c>
      <c r="I49" s="114">
        <f t="shared" si="18"/>
        <v>0</v>
      </c>
      <c r="J49" s="114">
        <f t="shared" si="14"/>
        <v>0</v>
      </c>
      <c r="K49" s="114">
        <f t="shared" si="15"/>
        <v>0</v>
      </c>
      <c r="L49" s="224">
        <f t="shared" si="19"/>
        <v>0</v>
      </c>
      <c r="M49" s="272">
        <f>IFERROR(IF('Payroll 2020'!C49='Payroll 2020'!$A$3,IF('Income Statement 2020'!$C$22&gt;0,'Income Statement 2020'!$C$22*0.1*('Payroll 2020'!G49/SUMIF($C$38:$C$76,$A$3,$G$38:$G$76)),0),0),0)</f>
        <v>0</v>
      </c>
      <c r="N49" s="224">
        <f t="shared" si="20"/>
        <v>0</v>
      </c>
    </row>
    <row r="50" spans="1:14" outlineLevel="1" x14ac:dyDescent="0.25">
      <c r="A50" s="18"/>
      <c r="B50" s="63">
        <v>13</v>
      </c>
      <c r="E50" s="308"/>
      <c r="F50" s="45">
        <f t="shared" si="13"/>
        <v>0</v>
      </c>
      <c r="G50" s="303">
        <f t="shared" si="16"/>
        <v>0</v>
      </c>
      <c r="H50" s="114">
        <f t="shared" si="17"/>
        <v>0</v>
      </c>
      <c r="I50" s="114">
        <f t="shared" si="18"/>
        <v>0</v>
      </c>
      <c r="J50" s="114">
        <f t="shared" si="14"/>
        <v>0</v>
      </c>
      <c r="K50" s="114">
        <f t="shared" si="15"/>
        <v>0</v>
      </c>
      <c r="L50" s="224">
        <f t="shared" si="19"/>
        <v>0</v>
      </c>
      <c r="M50" s="272">
        <f>IFERROR(IF('Payroll 2020'!C50='Payroll 2020'!$A$3,IF('Income Statement 2020'!$C$22&gt;0,'Income Statement 2020'!$C$22*0.1*('Payroll 2020'!G50/SUMIF($C$38:$C$76,$A$3,$G$38:$G$76)),0),0),0)</f>
        <v>0</v>
      </c>
      <c r="N50" s="224">
        <f t="shared" si="20"/>
        <v>0</v>
      </c>
    </row>
    <row r="51" spans="1:14" outlineLevel="1" x14ac:dyDescent="0.25">
      <c r="A51" s="18"/>
      <c r="B51" s="63">
        <v>14</v>
      </c>
      <c r="E51" s="308"/>
      <c r="F51" s="45">
        <f t="shared" si="13"/>
        <v>0</v>
      </c>
      <c r="G51" s="303">
        <f t="shared" si="16"/>
        <v>0</v>
      </c>
      <c r="H51" s="114">
        <f t="shared" si="17"/>
        <v>0</v>
      </c>
      <c r="I51" s="114">
        <f t="shared" si="18"/>
        <v>0</v>
      </c>
      <c r="J51" s="114">
        <f t="shared" si="14"/>
        <v>0</v>
      </c>
      <c r="K51" s="114">
        <f t="shared" si="15"/>
        <v>0</v>
      </c>
      <c r="L51" s="224">
        <f t="shared" si="19"/>
        <v>0</v>
      </c>
      <c r="M51" s="272">
        <f>IFERROR(IF('Payroll 2020'!C51='Payroll 2020'!$A$3,IF('Income Statement 2020'!$C$22&gt;0,'Income Statement 2020'!$C$22*0.1*('Payroll 2020'!G51/SUMIF($C$38:$C$76,$A$3,$G$38:$G$76)),0),0),0)</f>
        <v>0</v>
      </c>
      <c r="N51" s="224">
        <f t="shared" si="20"/>
        <v>0</v>
      </c>
    </row>
    <row r="52" spans="1:14" outlineLevel="1" x14ac:dyDescent="0.25">
      <c r="A52" s="18"/>
      <c r="B52" s="63">
        <v>15</v>
      </c>
      <c r="E52" s="308"/>
      <c r="F52" s="45">
        <f t="shared" si="13"/>
        <v>0</v>
      </c>
      <c r="G52" s="303">
        <f t="shared" si="16"/>
        <v>0</v>
      </c>
      <c r="H52" s="114">
        <f t="shared" si="17"/>
        <v>0</v>
      </c>
      <c r="I52" s="114">
        <f t="shared" si="18"/>
        <v>0</v>
      </c>
      <c r="J52" s="114">
        <f t="shared" si="14"/>
        <v>0</v>
      </c>
      <c r="K52" s="114">
        <f t="shared" si="15"/>
        <v>0</v>
      </c>
      <c r="L52" s="224">
        <f t="shared" si="19"/>
        <v>0</v>
      </c>
      <c r="M52" s="272">
        <f>IFERROR(IF('Payroll 2020'!C52='Payroll 2020'!$A$3,IF('Income Statement 2020'!$C$22&gt;0,'Income Statement 2020'!$C$22*0.1*('Payroll 2020'!G52/SUMIF($C$38:$C$76,$A$3,$G$38:$G$76)),0),0),0)</f>
        <v>0</v>
      </c>
      <c r="N52" s="224">
        <f t="shared" si="20"/>
        <v>0</v>
      </c>
    </row>
    <row r="53" spans="1:14" outlineLevel="1" x14ac:dyDescent="0.25">
      <c r="A53" s="18"/>
      <c r="B53" s="63">
        <v>16</v>
      </c>
      <c r="E53" s="308"/>
      <c r="F53" s="45">
        <f t="shared" si="13"/>
        <v>0</v>
      </c>
      <c r="G53" s="303">
        <f t="shared" si="16"/>
        <v>0</v>
      </c>
      <c r="H53" s="114">
        <f t="shared" si="17"/>
        <v>0</v>
      </c>
      <c r="I53" s="114">
        <f t="shared" si="18"/>
        <v>0</v>
      </c>
      <c r="J53" s="114">
        <f t="shared" si="14"/>
        <v>0</v>
      </c>
      <c r="K53" s="114">
        <f t="shared" si="15"/>
        <v>0</v>
      </c>
      <c r="L53" s="224">
        <f t="shared" si="19"/>
        <v>0</v>
      </c>
      <c r="M53" s="272">
        <f>IFERROR(IF('Payroll 2020'!C53='Payroll 2020'!$A$3,IF('Income Statement 2020'!$C$22&gt;0,'Income Statement 2020'!$C$22*0.1*('Payroll 2020'!G53/SUMIF($C$38:$C$76,$A$3,$G$38:$G$76)),0),0),0)</f>
        <v>0</v>
      </c>
      <c r="N53" s="224">
        <f t="shared" si="20"/>
        <v>0</v>
      </c>
    </row>
    <row r="54" spans="1:14" outlineLevel="1" x14ac:dyDescent="0.25">
      <c r="A54" s="18"/>
      <c r="B54" s="63">
        <v>17</v>
      </c>
      <c r="E54" s="308"/>
      <c r="F54" s="45">
        <f t="shared" si="13"/>
        <v>0</v>
      </c>
      <c r="G54" s="303">
        <f t="shared" si="16"/>
        <v>0</v>
      </c>
      <c r="H54" s="114">
        <f t="shared" si="17"/>
        <v>0</v>
      </c>
      <c r="I54" s="114">
        <f t="shared" si="18"/>
        <v>0</v>
      </c>
      <c r="J54" s="114">
        <f t="shared" si="14"/>
        <v>0</v>
      </c>
      <c r="K54" s="114">
        <f t="shared" si="15"/>
        <v>0</v>
      </c>
      <c r="L54" s="224">
        <f t="shared" si="19"/>
        <v>0</v>
      </c>
      <c r="M54" s="272">
        <f>IFERROR(IF('Payroll 2020'!C54='Payroll 2020'!$A$3,IF('Income Statement 2020'!$C$22&gt;0,'Income Statement 2020'!$C$22*0.1*('Payroll 2020'!G54/SUMIF($C$38:$C$76,$A$3,$G$38:$G$76)),0),0),0)</f>
        <v>0</v>
      </c>
      <c r="N54" s="224">
        <f t="shared" si="20"/>
        <v>0</v>
      </c>
    </row>
    <row r="55" spans="1:14" outlineLevel="1" x14ac:dyDescent="0.25">
      <c r="A55" s="18"/>
      <c r="B55" s="63">
        <v>18</v>
      </c>
      <c r="E55" s="308"/>
      <c r="F55" s="45">
        <f t="shared" si="13"/>
        <v>0</v>
      </c>
      <c r="G55" s="303">
        <f t="shared" si="16"/>
        <v>0</v>
      </c>
      <c r="H55" s="114">
        <f t="shared" si="17"/>
        <v>0</v>
      </c>
      <c r="I55" s="114">
        <f t="shared" si="18"/>
        <v>0</v>
      </c>
      <c r="J55" s="114">
        <f t="shared" si="14"/>
        <v>0</v>
      </c>
      <c r="K55" s="114">
        <f t="shared" si="15"/>
        <v>0</v>
      </c>
      <c r="L55" s="224">
        <f t="shared" si="19"/>
        <v>0</v>
      </c>
      <c r="M55" s="272">
        <f>IFERROR(IF('Payroll 2020'!C55='Payroll 2020'!$A$3,IF('Income Statement 2020'!$C$22&gt;0,'Income Statement 2020'!$C$22*0.1*('Payroll 2020'!G55/SUMIF($C$38:$C$76,$A$3,$G$38:$G$76)),0),0),0)</f>
        <v>0</v>
      </c>
      <c r="N55" s="224">
        <f t="shared" si="20"/>
        <v>0</v>
      </c>
    </row>
    <row r="56" spans="1:14" outlineLevel="1" x14ac:dyDescent="0.25">
      <c r="A56" s="18"/>
      <c r="B56" s="63">
        <v>19</v>
      </c>
      <c r="E56" s="308"/>
      <c r="F56" s="45">
        <f t="shared" si="13"/>
        <v>0</v>
      </c>
      <c r="G56" s="303">
        <f t="shared" si="16"/>
        <v>0</v>
      </c>
      <c r="H56" s="114">
        <f t="shared" si="17"/>
        <v>0</v>
      </c>
      <c r="I56" s="114">
        <f t="shared" si="18"/>
        <v>0</v>
      </c>
      <c r="J56" s="114">
        <f t="shared" si="14"/>
        <v>0</v>
      </c>
      <c r="K56" s="114">
        <f t="shared" si="15"/>
        <v>0</v>
      </c>
      <c r="L56" s="224">
        <f t="shared" si="19"/>
        <v>0</v>
      </c>
      <c r="M56" s="272">
        <f>IFERROR(IF('Payroll 2020'!C56='Payroll 2020'!$A$3,IF('Income Statement 2020'!$C$22&gt;0,'Income Statement 2020'!$C$22*0.1*('Payroll 2020'!G56/SUMIF($C$38:$C$76,$A$3,$G$38:$G$76)),0),0),0)</f>
        <v>0</v>
      </c>
      <c r="N56" s="224">
        <f t="shared" si="20"/>
        <v>0</v>
      </c>
    </row>
    <row r="57" spans="1:14" outlineLevel="1" x14ac:dyDescent="0.25">
      <c r="A57" s="18"/>
      <c r="B57" s="63">
        <v>20</v>
      </c>
      <c r="E57" s="308"/>
      <c r="F57" s="45">
        <f t="shared" si="13"/>
        <v>0</v>
      </c>
      <c r="G57" s="303">
        <f t="shared" si="16"/>
        <v>0</v>
      </c>
      <c r="H57" s="114">
        <f t="shared" si="17"/>
        <v>0</v>
      </c>
      <c r="I57" s="114">
        <f t="shared" si="18"/>
        <v>0</v>
      </c>
      <c r="J57" s="114">
        <f t="shared" si="14"/>
        <v>0</v>
      </c>
      <c r="K57" s="114">
        <f t="shared" si="15"/>
        <v>0</v>
      </c>
      <c r="L57" s="224">
        <f t="shared" si="19"/>
        <v>0</v>
      </c>
      <c r="M57" s="272">
        <f>IFERROR(IF('Payroll 2020'!C57='Payroll 2020'!$A$3,IF('Income Statement 2020'!$C$22&gt;0,'Income Statement 2020'!$C$22*0.1*('Payroll 2020'!G57/SUMIF($C$38:$C$76,$A$3,$G$38:$G$76)),0),0),0)</f>
        <v>0</v>
      </c>
      <c r="N57" s="224">
        <f t="shared" si="20"/>
        <v>0</v>
      </c>
    </row>
    <row r="58" spans="1:14" outlineLevel="1" x14ac:dyDescent="0.25">
      <c r="A58" s="18"/>
      <c r="B58" s="63">
        <v>21</v>
      </c>
      <c r="E58" s="308"/>
      <c r="F58" s="45">
        <f t="shared" si="13"/>
        <v>0</v>
      </c>
      <c r="G58" s="303">
        <f t="shared" si="16"/>
        <v>0</v>
      </c>
      <c r="H58" s="114">
        <f t="shared" si="17"/>
        <v>0</v>
      </c>
      <c r="I58" s="114">
        <f t="shared" si="18"/>
        <v>0</v>
      </c>
      <c r="J58" s="114">
        <f t="shared" si="14"/>
        <v>0</v>
      </c>
      <c r="K58" s="114">
        <f t="shared" si="15"/>
        <v>0</v>
      </c>
      <c r="L58" s="224">
        <f t="shared" si="19"/>
        <v>0</v>
      </c>
      <c r="M58" s="272">
        <f>IFERROR(IF('Payroll 2020'!C58='Payroll 2020'!$A$3,IF('Income Statement 2020'!$C$22&gt;0,'Income Statement 2020'!$C$22*0.1*('Payroll 2020'!G58/SUMIF($C$38:$C$76,$A$3,$G$38:$G$76)),0),0),0)</f>
        <v>0</v>
      </c>
      <c r="N58" s="224">
        <f t="shared" si="20"/>
        <v>0</v>
      </c>
    </row>
    <row r="59" spans="1:14" outlineLevel="1" x14ac:dyDescent="0.25">
      <c r="A59" s="18"/>
      <c r="B59" s="63">
        <v>22</v>
      </c>
      <c r="E59" s="308"/>
      <c r="F59" s="45">
        <f t="shared" si="13"/>
        <v>0</v>
      </c>
      <c r="G59" s="303">
        <f t="shared" si="16"/>
        <v>0</v>
      </c>
      <c r="H59" s="114">
        <f t="shared" si="17"/>
        <v>0</v>
      </c>
      <c r="I59" s="114">
        <f t="shared" si="18"/>
        <v>0</v>
      </c>
      <c r="J59" s="114">
        <f t="shared" si="14"/>
        <v>0</v>
      </c>
      <c r="K59" s="114">
        <f t="shared" si="15"/>
        <v>0</v>
      </c>
      <c r="L59" s="224">
        <f t="shared" si="19"/>
        <v>0</v>
      </c>
      <c r="M59" s="272">
        <f>IFERROR(IF('Payroll 2020'!C59='Payroll 2020'!$A$3,IF('Income Statement 2020'!$C$22&gt;0,'Income Statement 2020'!$C$22*0.1*('Payroll 2020'!G59/SUMIF($C$38:$C$76,$A$3,$G$38:$G$76)),0),0),0)</f>
        <v>0</v>
      </c>
      <c r="N59" s="224">
        <f t="shared" si="20"/>
        <v>0</v>
      </c>
    </row>
    <row r="60" spans="1:14" outlineLevel="1" x14ac:dyDescent="0.25">
      <c r="A60" s="18"/>
      <c r="B60" s="63">
        <v>23</v>
      </c>
      <c r="E60" s="308"/>
      <c r="F60" s="45">
        <f t="shared" si="13"/>
        <v>0</v>
      </c>
      <c r="G60" s="303">
        <f t="shared" si="16"/>
        <v>0</v>
      </c>
      <c r="H60" s="114">
        <f t="shared" si="17"/>
        <v>0</v>
      </c>
      <c r="I60" s="114">
        <f t="shared" si="18"/>
        <v>0</v>
      </c>
      <c r="J60" s="114">
        <f t="shared" si="14"/>
        <v>0</v>
      </c>
      <c r="K60" s="114">
        <f t="shared" si="15"/>
        <v>0</v>
      </c>
      <c r="L60" s="224">
        <f t="shared" si="19"/>
        <v>0</v>
      </c>
      <c r="M60" s="272">
        <f>IFERROR(IF('Payroll 2020'!C60='Payroll 2020'!$A$3,IF('Income Statement 2020'!$C$22&gt;0,'Income Statement 2020'!$C$22*0.1*('Payroll 2020'!G60/SUMIF($C$38:$C$76,$A$3,$G$38:$G$76)),0),0),0)</f>
        <v>0</v>
      </c>
      <c r="N60" s="224">
        <f t="shared" si="20"/>
        <v>0</v>
      </c>
    </row>
    <row r="61" spans="1:14" outlineLevel="1" x14ac:dyDescent="0.25">
      <c r="A61" s="18"/>
      <c r="B61" s="63">
        <v>24</v>
      </c>
      <c r="E61" s="308"/>
      <c r="F61" s="45">
        <f t="shared" si="13"/>
        <v>0</v>
      </c>
      <c r="G61" s="303">
        <f t="shared" si="16"/>
        <v>0</v>
      </c>
      <c r="H61" s="114">
        <f t="shared" si="17"/>
        <v>0</v>
      </c>
      <c r="I61" s="114">
        <f t="shared" si="18"/>
        <v>0</v>
      </c>
      <c r="J61" s="114">
        <f t="shared" si="14"/>
        <v>0</v>
      </c>
      <c r="K61" s="114">
        <f t="shared" si="15"/>
        <v>0</v>
      </c>
      <c r="L61" s="224">
        <f t="shared" si="19"/>
        <v>0</v>
      </c>
      <c r="M61" s="272">
        <f>IFERROR(IF('Payroll 2020'!C61='Payroll 2020'!$A$3,IF('Income Statement 2020'!$C$22&gt;0,'Income Statement 2020'!$C$22*0.1*('Payroll 2020'!G61/SUMIF($C$38:$C$76,$A$3,$G$38:$G$76)),0),0),0)</f>
        <v>0</v>
      </c>
      <c r="N61" s="224">
        <f t="shared" si="20"/>
        <v>0</v>
      </c>
    </row>
    <row r="62" spans="1:14" outlineLevel="1" x14ac:dyDescent="0.25">
      <c r="A62" s="18"/>
      <c r="B62" s="63">
        <v>25</v>
      </c>
      <c r="E62" s="308"/>
      <c r="F62" s="45">
        <f t="shared" si="13"/>
        <v>0</v>
      </c>
      <c r="G62" s="303">
        <f t="shared" si="16"/>
        <v>0</v>
      </c>
      <c r="H62" s="114">
        <f t="shared" si="17"/>
        <v>0</v>
      </c>
      <c r="I62" s="114">
        <f t="shared" si="18"/>
        <v>0</v>
      </c>
      <c r="J62" s="114">
        <f t="shared" si="14"/>
        <v>0</v>
      </c>
      <c r="K62" s="114">
        <f t="shared" si="15"/>
        <v>0</v>
      </c>
      <c r="L62" s="224">
        <f t="shared" si="19"/>
        <v>0</v>
      </c>
      <c r="M62" s="272">
        <f>IFERROR(IF('Payroll 2020'!C62='Payroll 2020'!$A$3,IF('Income Statement 2020'!$C$22&gt;0,'Income Statement 2020'!$C$22*0.1*('Payroll 2020'!G62/SUMIF($C$38:$C$76,$A$3,$G$38:$G$76)),0),0),0)</f>
        <v>0</v>
      </c>
      <c r="N62" s="224">
        <f t="shared" si="20"/>
        <v>0</v>
      </c>
    </row>
    <row r="63" spans="1:14" outlineLevel="1" x14ac:dyDescent="0.25">
      <c r="A63" s="18"/>
      <c r="B63" s="63">
        <v>26</v>
      </c>
      <c r="E63" s="308"/>
      <c r="F63" s="45">
        <f t="shared" si="13"/>
        <v>0</v>
      </c>
      <c r="G63" s="303">
        <f t="shared" si="16"/>
        <v>0</v>
      </c>
      <c r="H63" s="114">
        <f t="shared" si="17"/>
        <v>0</v>
      </c>
      <c r="I63" s="114">
        <f t="shared" si="18"/>
        <v>0</v>
      </c>
      <c r="J63" s="114">
        <f t="shared" si="14"/>
        <v>0</v>
      </c>
      <c r="K63" s="114">
        <f t="shared" si="15"/>
        <v>0</v>
      </c>
      <c r="L63" s="224">
        <f t="shared" si="19"/>
        <v>0</v>
      </c>
      <c r="M63" s="272">
        <f>IFERROR(IF('Payroll 2020'!C63='Payroll 2020'!$A$3,IF('Income Statement 2020'!$C$22&gt;0,'Income Statement 2020'!$C$22*0.1*('Payroll 2020'!G63/SUMIF($C$38:$C$76,$A$3,$G$38:$G$76)),0),0),0)</f>
        <v>0</v>
      </c>
      <c r="N63" s="224">
        <f t="shared" si="20"/>
        <v>0</v>
      </c>
    </row>
    <row r="64" spans="1:14" outlineLevel="1" x14ac:dyDescent="0.25">
      <c r="A64" s="18"/>
      <c r="B64" s="63">
        <v>27</v>
      </c>
      <c r="E64" s="308"/>
      <c r="F64" s="45">
        <f t="shared" si="13"/>
        <v>0</v>
      </c>
      <c r="G64" s="303">
        <f t="shared" si="16"/>
        <v>0</v>
      </c>
      <c r="H64" s="114">
        <f t="shared" si="17"/>
        <v>0</v>
      </c>
      <c r="I64" s="114">
        <f t="shared" si="18"/>
        <v>0</v>
      </c>
      <c r="J64" s="114">
        <f t="shared" si="14"/>
        <v>0</v>
      </c>
      <c r="K64" s="114">
        <f t="shared" si="15"/>
        <v>0</v>
      </c>
      <c r="L64" s="224">
        <f t="shared" si="19"/>
        <v>0</v>
      </c>
      <c r="M64" s="272">
        <f>IFERROR(IF('Payroll 2020'!C64='Payroll 2020'!$A$3,IF('Income Statement 2020'!$C$22&gt;0,'Income Statement 2020'!$C$22*0.1*('Payroll 2020'!G64/SUMIF($C$38:$C$76,$A$3,$G$38:$G$76)),0),0),0)</f>
        <v>0</v>
      </c>
      <c r="N64" s="224">
        <f t="shared" si="20"/>
        <v>0</v>
      </c>
    </row>
    <row r="65" spans="1:14" outlineLevel="1" x14ac:dyDescent="0.25">
      <c r="A65" s="18"/>
      <c r="B65" s="63">
        <v>28</v>
      </c>
      <c r="E65" s="308"/>
      <c r="F65" s="45">
        <f t="shared" si="13"/>
        <v>0</v>
      </c>
      <c r="G65" s="303">
        <f t="shared" si="16"/>
        <v>0</v>
      </c>
      <c r="H65" s="114">
        <f t="shared" si="17"/>
        <v>0</v>
      </c>
      <c r="I65" s="114">
        <f t="shared" si="18"/>
        <v>0</v>
      </c>
      <c r="J65" s="114">
        <f t="shared" si="14"/>
        <v>0</v>
      </c>
      <c r="K65" s="114">
        <f t="shared" si="15"/>
        <v>0</v>
      </c>
      <c r="L65" s="224">
        <f t="shared" si="19"/>
        <v>0</v>
      </c>
      <c r="M65" s="272">
        <f>IFERROR(IF('Payroll 2020'!C65='Payroll 2020'!$A$3,IF('Income Statement 2020'!$C$22&gt;0,'Income Statement 2020'!$C$22*0.1*('Payroll 2020'!G65/SUMIF($C$38:$C$76,$A$3,$G$38:$G$76)),0),0),0)</f>
        <v>0</v>
      </c>
      <c r="N65" s="224">
        <f t="shared" si="20"/>
        <v>0</v>
      </c>
    </row>
    <row r="66" spans="1:14" outlineLevel="1" x14ac:dyDescent="0.25">
      <c r="A66" s="18"/>
      <c r="B66" s="63">
        <v>29</v>
      </c>
      <c r="E66" s="308"/>
      <c r="F66" s="45">
        <f t="shared" si="13"/>
        <v>0</v>
      </c>
      <c r="G66" s="303">
        <f t="shared" si="16"/>
        <v>0</v>
      </c>
      <c r="H66" s="114">
        <f t="shared" si="17"/>
        <v>0</v>
      </c>
      <c r="I66" s="114">
        <f t="shared" si="18"/>
        <v>0</v>
      </c>
      <c r="J66" s="114">
        <f t="shared" si="14"/>
        <v>0</v>
      </c>
      <c r="K66" s="114">
        <f t="shared" si="15"/>
        <v>0</v>
      </c>
      <c r="L66" s="224">
        <f t="shared" si="19"/>
        <v>0</v>
      </c>
      <c r="M66" s="272">
        <f>IFERROR(IF('Payroll 2020'!C66='Payroll 2020'!$A$3,IF('Income Statement 2020'!$C$22&gt;0,'Income Statement 2020'!$C$22*0.1*('Payroll 2020'!G66/SUMIF($C$38:$C$76,$A$3,$G$38:$G$76)),0),0),0)</f>
        <v>0</v>
      </c>
      <c r="N66" s="224">
        <f t="shared" si="20"/>
        <v>0</v>
      </c>
    </row>
    <row r="67" spans="1:14" outlineLevel="1" x14ac:dyDescent="0.25">
      <c r="A67" s="18"/>
      <c r="B67" s="63">
        <v>30</v>
      </c>
      <c r="E67" s="308"/>
      <c r="F67" s="45">
        <f t="shared" si="13"/>
        <v>0</v>
      </c>
      <c r="G67" s="303">
        <f t="shared" si="16"/>
        <v>0</v>
      </c>
      <c r="H67" s="114">
        <f t="shared" si="17"/>
        <v>0</v>
      </c>
      <c r="I67" s="114">
        <f t="shared" si="18"/>
        <v>0</v>
      </c>
      <c r="J67" s="114">
        <f t="shared" si="14"/>
        <v>0</v>
      </c>
      <c r="K67" s="114">
        <f t="shared" si="15"/>
        <v>0</v>
      </c>
      <c r="L67" s="224">
        <f t="shared" si="19"/>
        <v>0</v>
      </c>
      <c r="M67" s="272">
        <f>IFERROR(IF('Payroll 2020'!C67='Payroll 2020'!$A$3,IF('Income Statement 2020'!$C$22&gt;0,'Income Statement 2020'!$C$22*0.1*('Payroll 2020'!G67/SUMIF($C$38:$C$76,$A$3,$G$38:$G$76)),0),0),0)</f>
        <v>0</v>
      </c>
      <c r="N67" s="224">
        <f t="shared" si="20"/>
        <v>0</v>
      </c>
    </row>
    <row r="68" spans="1:14" outlineLevel="1" x14ac:dyDescent="0.25">
      <c r="A68" s="18"/>
      <c r="B68" s="63">
        <v>31</v>
      </c>
      <c r="E68" s="308"/>
      <c r="F68" s="45">
        <f t="shared" si="13"/>
        <v>0</v>
      </c>
      <c r="G68" s="303">
        <f t="shared" si="16"/>
        <v>0</v>
      </c>
      <c r="H68" s="114">
        <f t="shared" si="17"/>
        <v>0</v>
      </c>
      <c r="I68" s="114">
        <f t="shared" si="18"/>
        <v>0</v>
      </c>
      <c r="J68" s="114">
        <f t="shared" si="14"/>
        <v>0</v>
      </c>
      <c r="K68" s="114">
        <f t="shared" si="15"/>
        <v>0</v>
      </c>
      <c r="L68" s="224">
        <f t="shared" si="19"/>
        <v>0</v>
      </c>
      <c r="M68" s="272">
        <f>IFERROR(IF('Payroll 2020'!C68='Payroll 2020'!$A$3,IF('Income Statement 2020'!$C$22&gt;0,'Income Statement 2020'!$C$22*0.1*('Payroll 2020'!G68/SUMIF($C$38:$C$76,$A$3,$G$38:$G$76)),0),0),0)</f>
        <v>0</v>
      </c>
      <c r="N68" s="224">
        <f t="shared" si="20"/>
        <v>0</v>
      </c>
    </row>
    <row r="69" spans="1:14" outlineLevel="1" x14ac:dyDescent="0.25">
      <c r="A69" s="18"/>
      <c r="B69" s="63">
        <v>32</v>
      </c>
      <c r="E69" s="308"/>
      <c r="F69" s="45">
        <f t="shared" si="13"/>
        <v>0</v>
      </c>
      <c r="G69" s="303">
        <f t="shared" si="16"/>
        <v>0</v>
      </c>
      <c r="H69" s="114">
        <f t="shared" si="17"/>
        <v>0</v>
      </c>
      <c r="I69" s="114">
        <f t="shared" si="18"/>
        <v>0</v>
      </c>
      <c r="J69" s="114">
        <f t="shared" si="14"/>
        <v>0</v>
      </c>
      <c r="K69" s="114">
        <f t="shared" si="15"/>
        <v>0</v>
      </c>
      <c r="L69" s="224">
        <f t="shared" si="19"/>
        <v>0</v>
      </c>
      <c r="M69" s="272">
        <f>IFERROR(IF('Payroll 2020'!C69='Payroll 2020'!$A$3,IF('Income Statement 2020'!$C$22&gt;0,'Income Statement 2020'!$C$22*0.1*('Payroll 2020'!G69/SUMIF($C$38:$C$76,$A$3,$G$38:$G$76)),0),0),0)</f>
        <v>0</v>
      </c>
      <c r="N69" s="224">
        <f t="shared" si="20"/>
        <v>0</v>
      </c>
    </row>
    <row r="70" spans="1:14" outlineLevel="1" x14ac:dyDescent="0.25">
      <c r="A70" s="18"/>
      <c r="B70" s="63">
        <v>33</v>
      </c>
      <c r="E70" s="308"/>
      <c r="F70" s="45">
        <f t="shared" si="13"/>
        <v>0</v>
      </c>
      <c r="G70" s="303">
        <f t="shared" si="16"/>
        <v>0</v>
      </c>
      <c r="H70" s="114">
        <f t="shared" si="17"/>
        <v>0</v>
      </c>
      <c r="I70" s="114">
        <f t="shared" si="18"/>
        <v>0</v>
      </c>
      <c r="J70" s="114">
        <f t="shared" si="14"/>
        <v>0</v>
      </c>
      <c r="K70" s="114">
        <f t="shared" si="15"/>
        <v>0</v>
      </c>
      <c r="L70" s="224">
        <f t="shared" si="19"/>
        <v>0</v>
      </c>
      <c r="M70" s="272">
        <f>IFERROR(IF('Payroll 2020'!C70='Payroll 2020'!$A$3,IF('Income Statement 2020'!$C$22&gt;0,'Income Statement 2020'!$C$22*0.1*('Payroll 2020'!G70/SUMIF($C$38:$C$76,$A$3,$G$38:$G$76)),0),0),0)</f>
        <v>0</v>
      </c>
      <c r="N70" s="224">
        <f t="shared" si="20"/>
        <v>0</v>
      </c>
    </row>
    <row r="71" spans="1:14" outlineLevel="1" x14ac:dyDescent="0.25">
      <c r="A71" s="18"/>
      <c r="B71" s="63">
        <v>34</v>
      </c>
      <c r="E71" s="308"/>
      <c r="F71" s="45">
        <f t="shared" si="13"/>
        <v>0</v>
      </c>
      <c r="G71" s="303">
        <f t="shared" si="16"/>
        <v>0</v>
      </c>
      <c r="H71" s="114">
        <f t="shared" si="17"/>
        <v>0</v>
      </c>
      <c r="I71" s="114">
        <f t="shared" si="18"/>
        <v>0</v>
      </c>
      <c r="J71" s="114">
        <f t="shared" si="14"/>
        <v>0</v>
      </c>
      <c r="K71" s="114">
        <f t="shared" si="15"/>
        <v>0</v>
      </c>
      <c r="L71" s="224">
        <f t="shared" si="19"/>
        <v>0</v>
      </c>
      <c r="M71" s="272">
        <f>IFERROR(IF('Payroll 2020'!C71='Payroll 2020'!$A$3,IF('Income Statement 2020'!$C$22&gt;0,'Income Statement 2020'!$C$22*0.1*('Payroll 2020'!G71/SUMIF($C$38:$C$76,$A$3,$G$38:$G$76)),0),0),0)</f>
        <v>0</v>
      </c>
      <c r="N71" s="224">
        <f t="shared" si="20"/>
        <v>0</v>
      </c>
    </row>
    <row r="72" spans="1:14" outlineLevel="1" x14ac:dyDescent="0.25">
      <c r="A72" s="18"/>
      <c r="B72" s="63">
        <v>35</v>
      </c>
      <c r="E72" s="308"/>
      <c r="F72" s="45">
        <f t="shared" si="13"/>
        <v>0</v>
      </c>
      <c r="G72" s="303">
        <f t="shared" si="16"/>
        <v>0</v>
      </c>
      <c r="H72" s="114">
        <f t="shared" si="17"/>
        <v>0</v>
      </c>
      <c r="I72" s="114">
        <f t="shared" si="18"/>
        <v>0</v>
      </c>
      <c r="J72" s="114">
        <f t="shared" si="14"/>
        <v>0</v>
      </c>
      <c r="K72" s="114">
        <f t="shared" si="15"/>
        <v>0</v>
      </c>
      <c r="L72" s="224">
        <f t="shared" si="19"/>
        <v>0</v>
      </c>
      <c r="M72" s="272">
        <f>IFERROR(IF('Payroll 2020'!C72='Payroll 2020'!$A$3,IF('Income Statement 2020'!$C$22&gt;0,'Income Statement 2020'!$C$22*0.1*('Payroll 2020'!G72/SUMIF($C$38:$C$76,$A$3,$G$38:$G$76)),0),0),0)</f>
        <v>0</v>
      </c>
      <c r="N72" s="224">
        <f t="shared" si="20"/>
        <v>0</v>
      </c>
    </row>
    <row r="73" spans="1:14" outlineLevel="1" x14ac:dyDescent="0.25">
      <c r="A73" s="18"/>
      <c r="B73" s="63">
        <v>36</v>
      </c>
      <c r="E73" s="308"/>
      <c r="F73" s="45">
        <f t="shared" si="13"/>
        <v>0</v>
      </c>
      <c r="G73" s="303">
        <f t="shared" si="16"/>
        <v>0</v>
      </c>
      <c r="H73" s="114">
        <f t="shared" si="17"/>
        <v>0</v>
      </c>
      <c r="I73" s="114">
        <f t="shared" si="18"/>
        <v>0</v>
      </c>
      <c r="J73" s="114">
        <f t="shared" si="14"/>
        <v>0</v>
      </c>
      <c r="K73" s="114">
        <f t="shared" si="15"/>
        <v>0</v>
      </c>
      <c r="L73" s="224">
        <f t="shared" si="19"/>
        <v>0</v>
      </c>
      <c r="M73" s="272">
        <f>IFERROR(IF('Payroll 2020'!C73='Payroll 2020'!$A$3,IF('Income Statement 2020'!$C$22&gt;0,'Income Statement 2020'!$C$22*0.1*('Payroll 2020'!G73/SUMIF($C$38:$C$76,$A$3,$G$38:$G$76)),0),0),0)</f>
        <v>0</v>
      </c>
      <c r="N73" s="224">
        <f t="shared" si="20"/>
        <v>0</v>
      </c>
    </row>
    <row r="74" spans="1:14" outlineLevel="1" x14ac:dyDescent="0.25">
      <c r="A74" s="18"/>
      <c r="B74" s="63">
        <v>37</v>
      </c>
      <c r="E74" s="308"/>
      <c r="F74" s="45">
        <f t="shared" si="13"/>
        <v>0</v>
      </c>
      <c r="G74" s="303">
        <f t="shared" si="16"/>
        <v>0</v>
      </c>
      <c r="H74" s="114">
        <f t="shared" si="17"/>
        <v>0</v>
      </c>
      <c r="I74" s="114">
        <f t="shared" si="18"/>
        <v>0</v>
      </c>
      <c r="J74" s="114">
        <f t="shared" si="14"/>
        <v>0</v>
      </c>
      <c r="K74" s="114">
        <f t="shared" si="15"/>
        <v>0</v>
      </c>
      <c r="L74" s="224">
        <f t="shared" si="19"/>
        <v>0</v>
      </c>
      <c r="M74" s="272">
        <f>IFERROR(IF('Payroll 2020'!C74='Payroll 2020'!$A$3,IF('Income Statement 2020'!$C$22&gt;0,'Income Statement 2020'!$C$22*0.1*('Payroll 2020'!G74/SUMIF($C$38:$C$76,$A$3,$G$38:$G$76)),0),0),0)</f>
        <v>0</v>
      </c>
      <c r="N74" s="224">
        <f t="shared" si="20"/>
        <v>0</v>
      </c>
    </row>
    <row r="75" spans="1:14" outlineLevel="1" x14ac:dyDescent="0.25">
      <c r="A75" s="18"/>
      <c r="B75" s="63">
        <v>38</v>
      </c>
      <c r="E75" s="308"/>
      <c r="F75" s="45">
        <f t="shared" si="13"/>
        <v>0</v>
      </c>
      <c r="G75" s="303">
        <f t="shared" si="16"/>
        <v>0</v>
      </c>
      <c r="H75" s="114">
        <f t="shared" si="17"/>
        <v>0</v>
      </c>
      <c r="I75" s="114">
        <f t="shared" si="18"/>
        <v>0</v>
      </c>
      <c r="J75" s="114">
        <f t="shared" si="14"/>
        <v>0</v>
      </c>
      <c r="K75" s="114">
        <f t="shared" si="15"/>
        <v>0</v>
      </c>
      <c r="L75" s="224">
        <f t="shared" si="19"/>
        <v>0</v>
      </c>
      <c r="M75" s="272">
        <f>IFERROR(IF('Payroll 2020'!C75='Payroll 2020'!$A$3,IF('Income Statement 2020'!$C$22&gt;0,'Income Statement 2020'!$C$22*0.1*('Payroll 2020'!G75/SUMIF($C$38:$C$76,$A$3,$G$38:$G$76)),0),0),0)</f>
        <v>0</v>
      </c>
      <c r="N75" s="224">
        <f t="shared" si="20"/>
        <v>0</v>
      </c>
    </row>
    <row r="76" spans="1:14" ht="17" outlineLevel="1" thickBot="1" x14ac:dyDescent="0.3">
      <c r="A76" s="19"/>
      <c r="B76" s="126">
        <v>39</v>
      </c>
      <c r="C76" s="16"/>
      <c r="D76" s="16"/>
      <c r="E76" s="309"/>
      <c r="F76" s="46">
        <f t="shared" si="13"/>
        <v>0</v>
      </c>
      <c r="G76" s="304">
        <f t="shared" si="16"/>
        <v>0</v>
      </c>
      <c r="H76" s="305">
        <f t="shared" si="17"/>
        <v>0</v>
      </c>
      <c r="I76" s="305">
        <f t="shared" si="18"/>
        <v>0</v>
      </c>
      <c r="J76" s="305">
        <f t="shared" si="14"/>
        <v>0</v>
      </c>
      <c r="K76" s="305">
        <f t="shared" si="15"/>
        <v>0</v>
      </c>
      <c r="L76" s="306">
        <f t="shared" si="19"/>
        <v>0</v>
      </c>
      <c r="M76" s="307">
        <f>IFERROR(IF('Payroll 2020'!C76='Payroll 2020'!$A$3,IF('Income Statement 2020'!$C$22&gt;0,'Income Statement 2020'!$C$22*0.1*('Payroll 2020'!G76/SUMIF($C$38:$C$76,$A$3,$G$38:$G$76)),0),0),0)</f>
        <v>0</v>
      </c>
      <c r="N76" s="306">
        <f t="shared" si="20"/>
        <v>0</v>
      </c>
    </row>
    <row r="77" spans="1:14" outlineLevel="1" x14ac:dyDescent="0.25">
      <c r="A77" s="2" t="s">
        <v>19</v>
      </c>
      <c r="B77" s="2"/>
      <c r="C77" s="2"/>
      <c r="D77" s="2"/>
      <c r="E77" s="313">
        <f>AVERAGE(E38:E76)</f>
        <v>33.375</v>
      </c>
      <c r="F77" s="47">
        <f>IFERROR(SUM(F38:F76),0)</f>
        <v>1472</v>
      </c>
      <c r="G77" s="303">
        <f t="shared" ref="G77:N77" si="21">IFERROR(SUM(G38:G76),0)</f>
        <v>49128</v>
      </c>
      <c r="H77" s="303">
        <f t="shared" si="21"/>
        <v>3930.2400000000007</v>
      </c>
      <c r="I77" s="303">
        <f t="shared" si="21"/>
        <v>2358.1439999999998</v>
      </c>
      <c r="J77" s="303">
        <f t="shared" si="21"/>
        <v>3930.2400000000007</v>
      </c>
      <c r="K77" s="303">
        <f t="shared" si="21"/>
        <v>0</v>
      </c>
      <c r="L77" s="303">
        <f t="shared" si="21"/>
        <v>38909.375999999997</v>
      </c>
      <c r="M77" s="303">
        <f t="shared" si="21"/>
        <v>0</v>
      </c>
      <c r="N77" s="303">
        <f t="shared" si="21"/>
        <v>38909.375999999997</v>
      </c>
    </row>
    <row r="78" spans="1:14" outlineLevel="1" x14ac:dyDescent="0.25"/>
    <row r="80" spans="1:14" x14ac:dyDescent="0.25">
      <c r="A80" s="2" t="s">
        <v>22</v>
      </c>
      <c r="B80" s="1" t="s">
        <v>17</v>
      </c>
      <c r="C80" s="20">
        <v>43862</v>
      </c>
      <c r="D80" s="1" t="s">
        <v>18</v>
      </c>
      <c r="E80" s="20">
        <v>43889</v>
      </c>
      <c r="F80" s="1" t="s">
        <v>42</v>
      </c>
      <c r="G80" s="1">
        <f>NETWORKDAYS(C80,E80)</f>
        <v>20</v>
      </c>
    </row>
    <row r="81" spans="1:14" ht="60" hidden="1" customHeight="1" outlineLevel="1" x14ac:dyDescent="0.25">
      <c r="A81" s="11" t="s">
        <v>2</v>
      </c>
      <c r="B81" s="10" t="s">
        <v>12</v>
      </c>
      <c r="C81" s="10" t="s">
        <v>1</v>
      </c>
      <c r="D81" s="10" t="s">
        <v>483</v>
      </c>
      <c r="E81" s="10" t="s">
        <v>13</v>
      </c>
      <c r="F81" s="10" t="s">
        <v>15</v>
      </c>
      <c r="G81" s="10" t="str">
        <f>G36</f>
        <v>Monthly Wage including all charges</v>
      </c>
      <c r="H81" s="10" t="str">
        <f t="shared" ref="H81:J81" si="22">H36</f>
        <v>URSSAF</v>
      </c>
      <c r="I81" s="10" t="str">
        <f t="shared" si="22"/>
        <v>Impot à la source</v>
      </c>
      <c r="J81" s="10" t="str">
        <f t="shared" si="22"/>
        <v>Employee Pension</v>
      </c>
      <c r="K81" s="10"/>
      <c r="L81" s="10" t="s">
        <v>14</v>
      </c>
      <c r="M81" s="10" t="s">
        <v>11</v>
      </c>
      <c r="N81" s="10" t="s">
        <v>20</v>
      </c>
    </row>
    <row r="82" spans="1:14" ht="17" hidden="1" outlineLevel="1" thickBot="1" x14ac:dyDescent="0.3">
      <c r="A82" s="12"/>
      <c r="B82" s="13"/>
      <c r="C82" s="13"/>
      <c r="D82" s="13"/>
      <c r="E82" s="13"/>
      <c r="F82" s="13"/>
      <c r="G82" s="314">
        <f>H82+I82+J82</f>
        <v>0.20800000000000002</v>
      </c>
      <c r="H82" s="315">
        <f>H37</f>
        <v>8.0000000000000016E-2</v>
      </c>
      <c r="I82" s="315">
        <f t="shared" ref="I82:J82" si="23">I37</f>
        <v>4.8000000000000001E-2</v>
      </c>
      <c r="J82" s="315">
        <f t="shared" si="23"/>
        <v>8.0000000000000016E-2</v>
      </c>
      <c r="K82" s="14"/>
      <c r="L82" s="15"/>
      <c r="M82" s="14">
        <f>'Payroll 2020-2024'!$L$12</f>
        <v>0.1</v>
      </c>
      <c r="N82" s="15"/>
    </row>
    <row r="83" spans="1:14" hidden="1" outlineLevel="1" x14ac:dyDescent="0.25">
      <c r="A83" s="18" t="s">
        <v>178</v>
      </c>
      <c r="B83" s="63">
        <v>1</v>
      </c>
      <c r="C83" s="5" t="s">
        <v>3</v>
      </c>
      <c r="D83" s="5" t="s">
        <v>484</v>
      </c>
      <c r="E83" s="308">
        <f>E38</f>
        <v>48</v>
      </c>
      <c r="F83" s="45">
        <f t="shared" ref="F83:F121" si="24">IF(C83=$A$3,$C$3*NETWORKDAYS($C$80,$E$80),0)</f>
        <v>160</v>
      </c>
      <c r="G83" s="303">
        <f>IFERROR(E83*F83,0)</f>
        <v>7680</v>
      </c>
      <c r="H83" s="114">
        <f>IFERROR(G83*$H$37,0)</f>
        <v>614.40000000000009</v>
      </c>
      <c r="I83" s="114">
        <f>IFERROR(G83*$I$37,0)</f>
        <v>368.64</v>
      </c>
      <c r="J83" s="114">
        <f t="shared" ref="J83:J121" si="25">IF(C83=$A$3,G83*$J$37,0)</f>
        <v>614.40000000000009</v>
      </c>
      <c r="K83" s="114">
        <f t="shared" ref="K83:K121" si="26">IF(C83=$A$3,G83*$K$37,0)</f>
        <v>0</v>
      </c>
      <c r="L83" s="224">
        <f>IFERROR(G83-SUM(H83:K83),0)</f>
        <v>6082.5599999999995</v>
      </c>
      <c r="M83" s="114">
        <f>IFERROR(IF('Payroll 2020'!C83='Payroll 2020'!$A$3,IF('Income Statement 2020'!$D$22&gt;0,'Income Statement 2020'!$D$22*0.1*('Payroll 2020'!G83/SUMIF($C$83:$C$121,$A$3,$G$83:$G$121)),0),0),0)</f>
        <v>0</v>
      </c>
      <c r="N83" s="224">
        <f>IFERROR(L83+M83,0)</f>
        <v>6082.5599999999995</v>
      </c>
    </row>
    <row r="84" spans="1:14" hidden="1" outlineLevel="1" x14ac:dyDescent="0.25">
      <c r="A84" s="18" t="s">
        <v>179</v>
      </c>
      <c r="B84" s="63">
        <v>2</v>
      </c>
      <c r="C84" s="5" t="s">
        <v>3</v>
      </c>
      <c r="D84" s="5" t="s">
        <v>484</v>
      </c>
      <c r="E84" s="308">
        <f t="shared" ref="E84:E90" si="27">E39</f>
        <v>45</v>
      </c>
      <c r="F84" s="45">
        <f t="shared" si="24"/>
        <v>160</v>
      </c>
      <c r="G84" s="303">
        <f>IFERROR(E84*F84,0)</f>
        <v>7200</v>
      </c>
      <c r="H84" s="114">
        <f t="shared" ref="H84:H121" si="28">IFERROR(G84*$H$37,0)</f>
        <v>576.00000000000011</v>
      </c>
      <c r="I84" s="114">
        <f t="shared" ref="I84:I121" si="29">IFERROR(G84*$I$37,0)</f>
        <v>345.6</v>
      </c>
      <c r="J84" s="114">
        <f t="shared" si="25"/>
        <v>576.00000000000011</v>
      </c>
      <c r="K84" s="114">
        <f t="shared" si="26"/>
        <v>0</v>
      </c>
      <c r="L84" s="224">
        <f t="shared" ref="L84:L121" si="30">IFERROR(G84-SUM(H84:K84),0)</f>
        <v>5702.4</v>
      </c>
      <c r="M84" s="114">
        <f>IFERROR(IF('Payroll 2020'!C84='Payroll 2020'!$A$3,IF('Income Statement 2020'!$D$22&gt;0,'Income Statement 2020'!$D$22*0.1*('Payroll 2020'!G84/SUMIF($C$83:$C$121,$A$3,$G$83:$G$121)),0),0),0)</f>
        <v>0</v>
      </c>
      <c r="N84" s="224">
        <f t="shared" ref="N84:N121" si="31">IFERROR(L84+M84,0)</f>
        <v>5702.4</v>
      </c>
    </row>
    <row r="85" spans="1:14" hidden="1" outlineLevel="1" x14ac:dyDescent="0.25">
      <c r="A85" s="18" t="s">
        <v>180</v>
      </c>
      <c r="B85" s="63">
        <v>3</v>
      </c>
      <c r="C85" s="5" t="s">
        <v>3</v>
      </c>
      <c r="D85" s="5" t="s">
        <v>484</v>
      </c>
      <c r="E85" s="308">
        <f t="shared" si="27"/>
        <v>37</v>
      </c>
      <c r="F85" s="45">
        <f t="shared" si="24"/>
        <v>160</v>
      </c>
      <c r="G85" s="303">
        <f t="shared" ref="G85:G121" si="32">IFERROR(E85*F85,0)</f>
        <v>5920</v>
      </c>
      <c r="H85" s="114">
        <f t="shared" si="28"/>
        <v>473.60000000000008</v>
      </c>
      <c r="I85" s="114">
        <f t="shared" si="29"/>
        <v>284.16000000000003</v>
      </c>
      <c r="J85" s="114">
        <f t="shared" si="25"/>
        <v>473.60000000000008</v>
      </c>
      <c r="K85" s="114">
        <f t="shared" si="26"/>
        <v>0</v>
      </c>
      <c r="L85" s="224">
        <f t="shared" si="30"/>
        <v>4688.6399999999994</v>
      </c>
      <c r="M85" s="114">
        <f>IFERROR(IF('Payroll 2020'!C85='Payroll 2020'!$A$3,IF('Income Statement 2020'!$D$22&gt;0,'Income Statement 2020'!$D$22*0.1*('Payroll 2020'!G85/SUMIF($C$83:$C$121,$A$3,$G$83:$G$121)),0),0),0)</f>
        <v>0</v>
      </c>
      <c r="N85" s="224">
        <f t="shared" si="31"/>
        <v>4688.6399999999994</v>
      </c>
    </row>
    <row r="86" spans="1:14" hidden="1" outlineLevel="1" x14ac:dyDescent="0.25">
      <c r="A86" s="18" t="s">
        <v>181</v>
      </c>
      <c r="B86" s="63">
        <v>4</v>
      </c>
      <c r="C86" s="5" t="s">
        <v>3</v>
      </c>
      <c r="D86" s="5" t="s">
        <v>485</v>
      </c>
      <c r="E86" s="308">
        <f t="shared" si="27"/>
        <v>23</v>
      </c>
      <c r="F86" s="45">
        <f t="shared" si="24"/>
        <v>160</v>
      </c>
      <c r="G86" s="303">
        <f t="shared" si="32"/>
        <v>3680</v>
      </c>
      <c r="H86" s="114">
        <f t="shared" si="28"/>
        <v>294.40000000000003</v>
      </c>
      <c r="I86" s="114">
        <f t="shared" si="29"/>
        <v>176.64000000000001</v>
      </c>
      <c r="J86" s="114">
        <f t="shared" si="25"/>
        <v>294.40000000000003</v>
      </c>
      <c r="K86" s="114">
        <f t="shared" si="26"/>
        <v>0</v>
      </c>
      <c r="L86" s="224">
        <f t="shared" si="30"/>
        <v>2914.56</v>
      </c>
      <c r="M86" s="114">
        <f>IFERROR(IF('Payroll 2020'!C86='Payroll 2020'!$A$3,IF('Income Statement 2020'!$D$22&gt;0,'Income Statement 2020'!$D$22*0.1*('Payroll 2020'!G86/SUMIF($C$83:$C$121,$A$3,$G$83:$G$121)),0),0),0)</f>
        <v>0</v>
      </c>
      <c r="N86" s="224">
        <f t="shared" si="31"/>
        <v>2914.56</v>
      </c>
    </row>
    <row r="87" spans="1:14" hidden="1" outlineLevel="1" x14ac:dyDescent="0.25">
      <c r="A87" s="18" t="s">
        <v>182</v>
      </c>
      <c r="B87" s="63">
        <v>5</v>
      </c>
      <c r="C87" s="5" t="s">
        <v>3</v>
      </c>
      <c r="D87" s="5" t="s">
        <v>486</v>
      </c>
      <c r="E87" s="308">
        <f t="shared" si="27"/>
        <v>40</v>
      </c>
      <c r="F87" s="45">
        <f t="shared" si="24"/>
        <v>160</v>
      </c>
      <c r="G87" s="303">
        <f t="shared" si="32"/>
        <v>6400</v>
      </c>
      <c r="H87" s="114">
        <f t="shared" si="28"/>
        <v>512.00000000000011</v>
      </c>
      <c r="I87" s="114">
        <f t="shared" si="29"/>
        <v>307.2</v>
      </c>
      <c r="J87" s="114">
        <f t="shared" si="25"/>
        <v>512.00000000000011</v>
      </c>
      <c r="K87" s="114">
        <f t="shared" si="26"/>
        <v>0</v>
      </c>
      <c r="L87" s="224">
        <f t="shared" si="30"/>
        <v>5068.7999999999993</v>
      </c>
      <c r="M87" s="114">
        <f>IFERROR(IF('Payroll 2020'!C87='Payroll 2020'!$A$3,IF('Income Statement 2020'!$D$22&gt;0,'Income Statement 2020'!$D$22*0.1*('Payroll 2020'!G87/SUMIF($C$83:$C$121,$A$3,$G$83:$G$121)),0),0),0)</f>
        <v>0</v>
      </c>
      <c r="N87" s="224">
        <f t="shared" si="31"/>
        <v>5068.7999999999993</v>
      </c>
    </row>
    <row r="88" spans="1:14" hidden="1" outlineLevel="1" x14ac:dyDescent="0.25">
      <c r="A88" s="18" t="s">
        <v>183</v>
      </c>
      <c r="B88" s="63">
        <v>6</v>
      </c>
      <c r="C88" s="5" t="s">
        <v>3</v>
      </c>
      <c r="D88" s="5" t="s">
        <v>486</v>
      </c>
      <c r="E88" s="308">
        <f t="shared" si="27"/>
        <v>28</v>
      </c>
      <c r="F88" s="45">
        <f t="shared" si="24"/>
        <v>160</v>
      </c>
      <c r="G88" s="303">
        <f t="shared" si="32"/>
        <v>4480</v>
      </c>
      <c r="H88" s="114">
        <f t="shared" si="28"/>
        <v>358.40000000000009</v>
      </c>
      <c r="I88" s="114">
        <f t="shared" si="29"/>
        <v>215.04</v>
      </c>
      <c r="J88" s="114">
        <f t="shared" si="25"/>
        <v>358.40000000000009</v>
      </c>
      <c r="K88" s="114">
        <f t="shared" si="26"/>
        <v>0</v>
      </c>
      <c r="L88" s="224">
        <f t="shared" si="30"/>
        <v>3548.16</v>
      </c>
      <c r="M88" s="114">
        <f>IFERROR(IF('Payroll 2020'!C88='Payroll 2020'!$A$3,IF('Income Statement 2020'!$D$22&gt;0,'Income Statement 2020'!$D$22*0.1*('Payroll 2020'!G88/SUMIF($C$83:$C$121,$A$3,$G$83:$G$121)),0),0),0)</f>
        <v>0</v>
      </c>
      <c r="N88" s="224">
        <f t="shared" si="31"/>
        <v>3548.16</v>
      </c>
    </row>
    <row r="89" spans="1:14" hidden="1" outlineLevel="1" x14ac:dyDescent="0.25">
      <c r="A89" s="18" t="s">
        <v>183</v>
      </c>
      <c r="B89" s="63">
        <v>7</v>
      </c>
      <c r="C89" s="5" t="s">
        <v>3</v>
      </c>
      <c r="D89" s="5" t="s">
        <v>486</v>
      </c>
      <c r="E89" s="308">
        <f t="shared" si="27"/>
        <v>23</v>
      </c>
      <c r="F89" s="45">
        <f t="shared" si="24"/>
        <v>160</v>
      </c>
      <c r="G89" s="303">
        <f t="shared" si="32"/>
        <v>3680</v>
      </c>
      <c r="H89" s="114">
        <f t="shared" si="28"/>
        <v>294.40000000000003</v>
      </c>
      <c r="I89" s="114">
        <f t="shared" si="29"/>
        <v>176.64000000000001</v>
      </c>
      <c r="J89" s="114">
        <f t="shared" si="25"/>
        <v>294.40000000000003</v>
      </c>
      <c r="K89" s="114">
        <f t="shared" si="26"/>
        <v>0</v>
      </c>
      <c r="L89" s="224">
        <f t="shared" si="30"/>
        <v>2914.56</v>
      </c>
      <c r="M89" s="114">
        <f>IFERROR(IF('Payroll 2020'!C89='Payroll 2020'!$A$3,IF('Income Statement 2020'!$D$22&gt;0,'Income Statement 2020'!$D$22*0.1*('Payroll 2020'!G89/SUMIF($C$83:$C$121,$A$3,$G$83:$G$121)),0),0),0)</f>
        <v>0</v>
      </c>
      <c r="N89" s="224">
        <f t="shared" si="31"/>
        <v>2914.56</v>
      </c>
    </row>
    <row r="90" spans="1:14" hidden="1" outlineLevel="1" x14ac:dyDescent="0.25">
      <c r="A90" s="18" t="s">
        <v>183</v>
      </c>
      <c r="B90" s="63">
        <v>8</v>
      </c>
      <c r="C90" s="5" t="s">
        <v>3</v>
      </c>
      <c r="D90" s="5" t="s">
        <v>486</v>
      </c>
      <c r="E90" s="308">
        <f t="shared" si="27"/>
        <v>23</v>
      </c>
      <c r="F90" s="45">
        <f t="shared" si="24"/>
        <v>160</v>
      </c>
      <c r="G90" s="303">
        <f t="shared" si="32"/>
        <v>3680</v>
      </c>
      <c r="H90" s="114">
        <f t="shared" si="28"/>
        <v>294.40000000000003</v>
      </c>
      <c r="I90" s="114">
        <f t="shared" si="29"/>
        <v>176.64000000000001</v>
      </c>
      <c r="J90" s="114">
        <f t="shared" si="25"/>
        <v>294.40000000000003</v>
      </c>
      <c r="K90" s="114">
        <f t="shared" si="26"/>
        <v>0</v>
      </c>
      <c r="L90" s="224">
        <f t="shared" si="30"/>
        <v>2914.56</v>
      </c>
      <c r="M90" s="114">
        <f>IFERROR(IF('Payroll 2020'!C90='Payroll 2020'!$A$3,IF('Income Statement 2020'!$D$22&gt;0,'Income Statement 2020'!$D$22*0.1*('Payroll 2020'!G90/SUMIF($C$83:$C$121,$A$3,$G$83:$G$121)),0),0),0)</f>
        <v>0</v>
      </c>
      <c r="N90" s="224">
        <f t="shared" si="31"/>
        <v>2914.56</v>
      </c>
    </row>
    <row r="91" spans="1:14" hidden="1" outlineLevel="1" x14ac:dyDescent="0.25">
      <c r="A91" s="17"/>
      <c r="B91" s="63">
        <v>9</v>
      </c>
      <c r="C91" s="8"/>
      <c r="D91" s="5"/>
      <c r="E91" s="313"/>
      <c r="F91" s="45">
        <f t="shared" si="24"/>
        <v>0</v>
      </c>
      <c r="G91" s="303">
        <f t="shared" si="32"/>
        <v>0</v>
      </c>
      <c r="H91" s="114">
        <f t="shared" si="28"/>
        <v>0</v>
      </c>
      <c r="I91" s="114">
        <f t="shared" si="29"/>
        <v>0</v>
      </c>
      <c r="J91" s="114">
        <f t="shared" si="25"/>
        <v>0</v>
      </c>
      <c r="K91" s="114">
        <f t="shared" si="26"/>
        <v>0</v>
      </c>
      <c r="L91" s="224">
        <f t="shared" si="30"/>
        <v>0</v>
      </c>
      <c r="M91" s="114">
        <f>IFERROR(IF('Payroll 2020'!C91='Payroll 2020'!$A$3,IF('Income Statement 2020'!$D$22&gt;0,'Income Statement 2020'!$D$22*0.1*('Payroll 2020'!G91/SUMIF($C$83:$C$121,$A$3,$G$83:$G$121)),0),0),0)</f>
        <v>0</v>
      </c>
      <c r="N91" s="224">
        <f t="shared" si="31"/>
        <v>0</v>
      </c>
    </row>
    <row r="92" spans="1:14" hidden="1" outlineLevel="1" x14ac:dyDescent="0.25">
      <c r="A92" s="17"/>
      <c r="B92" s="63">
        <v>10</v>
      </c>
      <c r="C92" s="8"/>
      <c r="D92" s="5"/>
      <c r="E92" s="313"/>
      <c r="F92" s="45">
        <f t="shared" si="24"/>
        <v>0</v>
      </c>
      <c r="G92" s="303">
        <f t="shared" si="32"/>
        <v>0</v>
      </c>
      <c r="H92" s="114">
        <f t="shared" si="28"/>
        <v>0</v>
      </c>
      <c r="I92" s="114">
        <f t="shared" si="29"/>
        <v>0</v>
      </c>
      <c r="J92" s="114">
        <f t="shared" si="25"/>
        <v>0</v>
      </c>
      <c r="K92" s="114">
        <f t="shared" si="26"/>
        <v>0</v>
      </c>
      <c r="L92" s="224">
        <f t="shared" si="30"/>
        <v>0</v>
      </c>
      <c r="M92" s="114">
        <f>IFERROR(IF('Payroll 2020'!C92='Payroll 2020'!$A$3,IF('Income Statement 2020'!$D$22&gt;0,'Income Statement 2020'!$D$22*0.1*('Payroll 2020'!G92/SUMIF($C$83:$C$121,$A$3,$G$83:$G$121)),0),0),0)</f>
        <v>0</v>
      </c>
      <c r="N92" s="224">
        <f t="shared" si="31"/>
        <v>0</v>
      </c>
    </row>
    <row r="93" spans="1:14" hidden="1" outlineLevel="1" x14ac:dyDescent="0.25">
      <c r="A93" s="18"/>
      <c r="B93" s="63">
        <v>11</v>
      </c>
      <c r="E93" s="124"/>
      <c r="F93" s="45">
        <f t="shared" si="24"/>
        <v>0</v>
      </c>
      <c r="G93" s="303">
        <f t="shared" si="32"/>
        <v>0</v>
      </c>
      <c r="H93" s="114">
        <f t="shared" si="28"/>
        <v>0</v>
      </c>
      <c r="I93" s="114">
        <f t="shared" si="29"/>
        <v>0</v>
      </c>
      <c r="J93" s="114">
        <f t="shared" si="25"/>
        <v>0</v>
      </c>
      <c r="K93" s="114">
        <f t="shared" si="26"/>
        <v>0</v>
      </c>
      <c r="L93" s="224">
        <f t="shared" si="30"/>
        <v>0</v>
      </c>
      <c r="M93" s="114">
        <f>IFERROR(IF('Payroll 2020'!C93='Payroll 2020'!$A$3,IF('Income Statement 2020'!$D$22&gt;0,'Income Statement 2020'!$D$22*0.1*('Payroll 2020'!G93/SUMIF($C$83:$C$121,$A$3,$G$83:$G$121)),0),0),0)</f>
        <v>0</v>
      </c>
      <c r="N93" s="224">
        <f t="shared" si="31"/>
        <v>0</v>
      </c>
    </row>
    <row r="94" spans="1:14" hidden="1" outlineLevel="1" x14ac:dyDescent="0.25">
      <c r="A94" s="18"/>
      <c r="B94" s="63">
        <v>12</v>
      </c>
      <c r="E94" s="124"/>
      <c r="F94" s="45">
        <f t="shared" si="24"/>
        <v>0</v>
      </c>
      <c r="G94" s="303">
        <f t="shared" si="32"/>
        <v>0</v>
      </c>
      <c r="H94" s="114">
        <f t="shared" si="28"/>
        <v>0</v>
      </c>
      <c r="I94" s="114">
        <f t="shared" si="29"/>
        <v>0</v>
      </c>
      <c r="J94" s="114">
        <f t="shared" si="25"/>
        <v>0</v>
      </c>
      <c r="K94" s="114">
        <f t="shared" si="26"/>
        <v>0</v>
      </c>
      <c r="L94" s="224">
        <f t="shared" si="30"/>
        <v>0</v>
      </c>
      <c r="M94" s="114">
        <f>IFERROR(IF('Payroll 2020'!C94='Payroll 2020'!$A$3,IF('Income Statement 2020'!$D$22&gt;0,'Income Statement 2020'!$D$22*0.1*('Payroll 2020'!G94/SUMIF($C$83:$C$121,$A$3,$G$83:$G$121)),0),0),0)</f>
        <v>0</v>
      </c>
      <c r="N94" s="224">
        <f t="shared" si="31"/>
        <v>0</v>
      </c>
    </row>
    <row r="95" spans="1:14" hidden="1" outlineLevel="1" x14ac:dyDescent="0.25">
      <c r="A95" s="18"/>
      <c r="B95" s="63">
        <v>13</v>
      </c>
      <c r="E95" s="124"/>
      <c r="F95" s="45">
        <f t="shared" si="24"/>
        <v>0</v>
      </c>
      <c r="G95" s="303">
        <f t="shared" si="32"/>
        <v>0</v>
      </c>
      <c r="H95" s="114">
        <f t="shared" si="28"/>
        <v>0</v>
      </c>
      <c r="I95" s="114">
        <f t="shared" si="29"/>
        <v>0</v>
      </c>
      <c r="J95" s="114">
        <f t="shared" si="25"/>
        <v>0</v>
      </c>
      <c r="K95" s="114">
        <f t="shared" si="26"/>
        <v>0</v>
      </c>
      <c r="L95" s="224">
        <f t="shared" si="30"/>
        <v>0</v>
      </c>
      <c r="M95" s="114">
        <f>IFERROR(IF('Payroll 2020'!C95='Payroll 2020'!$A$3,IF('Income Statement 2020'!$D$22&gt;0,'Income Statement 2020'!$D$22*0.1*('Payroll 2020'!G95/SUMIF($C$83:$C$121,$A$3,$G$83:$G$121)),0),0),0)</f>
        <v>0</v>
      </c>
      <c r="N95" s="224">
        <f t="shared" si="31"/>
        <v>0</v>
      </c>
    </row>
    <row r="96" spans="1:14" hidden="1" outlineLevel="1" x14ac:dyDescent="0.25">
      <c r="A96" s="18"/>
      <c r="B96" s="63">
        <v>14</v>
      </c>
      <c r="E96" s="124"/>
      <c r="F96" s="45">
        <f t="shared" si="24"/>
        <v>0</v>
      </c>
      <c r="G96" s="303">
        <f t="shared" si="32"/>
        <v>0</v>
      </c>
      <c r="H96" s="114">
        <f t="shared" si="28"/>
        <v>0</v>
      </c>
      <c r="I96" s="114">
        <f t="shared" si="29"/>
        <v>0</v>
      </c>
      <c r="J96" s="114">
        <f t="shared" si="25"/>
        <v>0</v>
      </c>
      <c r="K96" s="114">
        <f t="shared" si="26"/>
        <v>0</v>
      </c>
      <c r="L96" s="224">
        <f t="shared" si="30"/>
        <v>0</v>
      </c>
      <c r="M96" s="114">
        <f>IFERROR(IF('Payroll 2020'!C96='Payroll 2020'!$A$3,IF('Income Statement 2020'!$D$22&gt;0,'Income Statement 2020'!$D$22*0.1*('Payroll 2020'!G96/SUMIF($C$83:$C$121,$A$3,$G$83:$G$121)),0),0),0)</f>
        <v>0</v>
      </c>
      <c r="N96" s="224">
        <f t="shared" si="31"/>
        <v>0</v>
      </c>
    </row>
    <row r="97" spans="1:14" hidden="1" outlineLevel="1" x14ac:dyDescent="0.25">
      <c r="A97" s="18"/>
      <c r="B97" s="63">
        <v>15</v>
      </c>
      <c r="E97" s="124"/>
      <c r="F97" s="45">
        <f t="shared" si="24"/>
        <v>0</v>
      </c>
      <c r="G97" s="303">
        <f t="shared" si="32"/>
        <v>0</v>
      </c>
      <c r="H97" s="114">
        <f t="shared" si="28"/>
        <v>0</v>
      </c>
      <c r="I97" s="114">
        <f t="shared" si="29"/>
        <v>0</v>
      </c>
      <c r="J97" s="114">
        <f t="shared" si="25"/>
        <v>0</v>
      </c>
      <c r="K97" s="114">
        <f t="shared" si="26"/>
        <v>0</v>
      </c>
      <c r="L97" s="224">
        <f t="shared" si="30"/>
        <v>0</v>
      </c>
      <c r="M97" s="114">
        <f>IFERROR(IF('Payroll 2020'!C97='Payroll 2020'!$A$3,IF('Income Statement 2020'!$D$22&gt;0,'Income Statement 2020'!$D$22*0.1*('Payroll 2020'!G97/SUMIF($C$83:$C$121,$A$3,$G$83:$G$121)),0),0),0)</f>
        <v>0</v>
      </c>
      <c r="N97" s="224">
        <f t="shared" si="31"/>
        <v>0</v>
      </c>
    </row>
    <row r="98" spans="1:14" hidden="1" outlineLevel="1" x14ac:dyDescent="0.25">
      <c r="A98" s="18"/>
      <c r="B98" s="63">
        <v>16</v>
      </c>
      <c r="E98" s="124"/>
      <c r="F98" s="45">
        <f t="shared" si="24"/>
        <v>0</v>
      </c>
      <c r="G98" s="303">
        <f t="shared" si="32"/>
        <v>0</v>
      </c>
      <c r="H98" s="114">
        <f t="shared" si="28"/>
        <v>0</v>
      </c>
      <c r="I98" s="114">
        <f t="shared" si="29"/>
        <v>0</v>
      </c>
      <c r="J98" s="114">
        <f t="shared" si="25"/>
        <v>0</v>
      </c>
      <c r="K98" s="114">
        <f t="shared" si="26"/>
        <v>0</v>
      </c>
      <c r="L98" s="224">
        <f t="shared" si="30"/>
        <v>0</v>
      </c>
      <c r="M98" s="114">
        <f>IFERROR(IF('Payroll 2020'!C98='Payroll 2020'!$A$3,IF('Income Statement 2020'!$D$22&gt;0,'Income Statement 2020'!$D$22*0.1*('Payroll 2020'!G98/SUMIF($C$83:$C$121,$A$3,$G$83:$G$121)),0),0),0)</f>
        <v>0</v>
      </c>
      <c r="N98" s="224">
        <f t="shared" si="31"/>
        <v>0</v>
      </c>
    </row>
    <row r="99" spans="1:14" hidden="1" outlineLevel="1" x14ac:dyDescent="0.25">
      <c r="A99" s="18"/>
      <c r="B99" s="63">
        <v>17</v>
      </c>
      <c r="E99" s="124"/>
      <c r="F99" s="45">
        <f t="shared" si="24"/>
        <v>0</v>
      </c>
      <c r="G99" s="303">
        <f t="shared" si="32"/>
        <v>0</v>
      </c>
      <c r="H99" s="114">
        <f t="shared" si="28"/>
        <v>0</v>
      </c>
      <c r="I99" s="114">
        <f t="shared" si="29"/>
        <v>0</v>
      </c>
      <c r="J99" s="114">
        <f t="shared" si="25"/>
        <v>0</v>
      </c>
      <c r="K99" s="114">
        <f t="shared" si="26"/>
        <v>0</v>
      </c>
      <c r="L99" s="224">
        <f t="shared" si="30"/>
        <v>0</v>
      </c>
      <c r="M99" s="114">
        <f>IFERROR(IF('Payroll 2020'!C99='Payroll 2020'!$A$3,IF('Income Statement 2020'!$D$22&gt;0,'Income Statement 2020'!$D$22*0.1*('Payroll 2020'!G99/SUMIF($C$83:$C$121,$A$3,$G$83:$G$121)),0),0),0)</f>
        <v>0</v>
      </c>
      <c r="N99" s="224">
        <f t="shared" si="31"/>
        <v>0</v>
      </c>
    </row>
    <row r="100" spans="1:14" hidden="1" outlineLevel="1" x14ac:dyDescent="0.25">
      <c r="A100" s="18"/>
      <c r="B100" s="63">
        <v>18</v>
      </c>
      <c r="E100" s="124"/>
      <c r="F100" s="45">
        <f t="shared" si="24"/>
        <v>0</v>
      </c>
      <c r="G100" s="303">
        <f t="shared" si="32"/>
        <v>0</v>
      </c>
      <c r="H100" s="114">
        <f t="shared" si="28"/>
        <v>0</v>
      </c>
      <c r="I100" s="114">
        <f t="shared" si="29"/>
        <v>0</v>
      </c>
      <c r="J100" s="114">
        <f t="shared" si="25"/>
        <v>0</v>
      </c>
      <c r="K100" s="114">
        <f t="shared" si="26"/>
        <v>0</v>
      </c>
      <c r="L100" s="224">
        <f t="shared" si="30"/>
        <v>0</v>
      </c>
      <c r="M100" s="114">
        <f>IFERROR(IF('Payroll 2020'!C100='Payroll 2020'!$A$3,IF('Income Statement 2020'!$D$22&gt;0,'Income Statement 2020'!$D$22*0.1*('Payroll 2020'!G100/SUMIF($C$83:$C$121,$A$3,$G$83:$G$121)),0),0),0)</f>
        <v>0</v>
      </c>
      <c r="N100" s="224">
        <f t="shared" si="31"/>
        <v>0</v>
      </c>
    </row>
    <row r="101" spans="1:14" hidden="1" outlineLevel="1" x14ac:dyDescent="0.25">
      <c r="A101" s="18"/>
      <c r="B101" s="63">
        <v>19</v>
      </c>
      <c r="E101" s="124"/>
      <c r="F101" s="45">
        <f t="shared" si="24"/>
        <v>0</v>
      </c>
      <c r="G101" s="303">
        <f t="shared" si="32"/>
        <v>0</v>
      </c>
      <c r="H101" s="114">
        <f t="shared" si="28"/>
        <v>0</v>
      </c>
      <c r="I101" s="114">
        <f t="shared" si="29"/>
        <v>0</v>
      </c>
      <c r="J101" s="114">
        <f t="shared" si="25"/>
        <v>0</v>
      </c>
      <c r="K101" s="114">
        <f t="shared" si="26"/>
        <v>0</v>
      </c>
      <c r="L101" s="224">
        <f t="shared" si="30"/>
        <v>0</v>
      </c>
      <c r="M101" s="114">
        <f>IFERROR(IF('Payroll 2020'!C101='Payroll 2020'!$A$3,IF('Income Statement 2020'!$D$22&gt;0,'Income Statement 2020'!$D$22*0.1*('Payroll 2020'!G101/SUMIF($C$83:$C$121,$A$3,$G$83:$G$121)),0),0),0)</f>
        <v>0</v>
      </c>
      <c r="N101" s="224">
        <f t="shared" si="31"/>
        <v>0</v>
      </c>
    </row>
    <row r="102" spans="1:14" hidden="1" outlineLevel="1" x14ac:dyDescent="0.25">
      <c r="A102" s="18"/>
      <c r="B102" s="63">
        <v>20</v>
      </c>
      <c r="E102" s="124"/>
      <c r="F102" s="45">
        <f t="shared" si="24"/>
        <v>0</v>
      </c>
      <c r="G102" s="303">
        <f t="shared" si="32"/>
        <v>0</v>
      </c>
      <c r="H102" s="114">
        <f t="shared" si="28"/>
        <v>0</v>
      </c>
      <c r="I102" s="114">
        <f t="shared" si="29"/>
        <v>0</v>
      </c>
      <c r="J102" s="114">
        <f t="shared" si="25"/>
        <v>0</v>
      </c>
      <c r="K102" s="114">
        <f t="shared" si="26"/>
        <v>0</v>
      </c>
      <c r="L102" s="224">
        <f t="shared" si="30"/>
        <v>0</v>
      </c>
      <c r="M102" s="114">
        <f>IFERROR(IF('Payroll 2020'!C102='Payroll 2020'!$A$3,IF('Income Statement 2020'!$D$22&gt;0,'Income Statement 2020'!$D$22*0.1*('Payroll 2020'!G102/SUMIF($C$83:$C$121,$A$3,$G$83:$G$121)),0),0),0)</f>
        <v>0</v>
      </c>
      <c r="N102" s="224">
        <f t="shared" si="31"/>
        <v>0</v>
      </c>
    </row>
    <row r="103" spans="1:14" hidden="1" outlineLevel="1" x14ac:dyDescent="0.25">
      <c r="A103" s="18"/>
      <c r="B103" s="63">
        <v>21</v>
      </c>
      <c r="E103" s="124"/>
      <c r="F103" s="45">
        <f t="shared" si="24"/>
        <v>0</v>
      </c>
      <c r="G103" s="303">
        <f t="shared" si="32"/>
        <v>0</v>
      </c>
      <c r="H103" s="114">
        <f t="shared" si="28"/>
        <v>0</v>
      </c>
      <c r="I103" s="114">
        <f t="shared" si="29"/>
        <v>0</v>
      </c>
      <c r="J103" s="114">
        <f t="shared" si="25"/>
        <v>0</v>
      </c>
      <c r="K103" s="114">
        <f t="shared" si="26"/>
        <v>0</v>
      </c>
      <c r="L103" s="224">
        <f t="shared" si="30"/>
        <v>0</v>
      </c>
      <c r="M103" s="114">
        <f>IFERROR(IF('Payroll 2020'!C103='Payroll 2020'!$A$3,IF('Income Statement 2020'!$D$22&gt;0,'Income Statement 2020'!$D$22*0.1*('Payroll 2020'!G103/SUMIF($C$83:$C$121,$A$3,$G$83:$G$121)),0),0),0)</f>
        <v>0</v>
      </c>
      <c r="N103" s="224">
        <f t="shared" si="31"/>
        <v>0</v>
      </c>
    </row>
    <row r="104" spans="1:14" hidden="1" outlineLevel="1" x14ac:dyDescent="0.25">
      <c r="A104" s="18"/>
      <c r="B104" s="63">
        <v>22</v>
      </c>
      <c r="E104" s="124"/>
      <c r="F104" s="45">
        <f t="shared" si="24"/>
        <v>0</v>
      </c>
      <c r="G104" s="303">
        <f t="shared" si="32"/>
        <v>0</v>
      </c>
      <c r="H104" s="114">
        <f t="shared" si="28"/>
        <v>0</v>
      </c>
      <c r="I104" s="114">
        <f t="shared" si="29"/>
        <v>0</v>
      </c>
      <c r="J104" s="114">
        <f t="shared" si="25"/>
        <v>0</v>
      </c>
      <c r="K104" s="114">
        <f t="shared" si="26"/>
        <v>0</v>
      </c>
      <c r="L104" s="224">
        <f t="shared" si="30"/>
        <v>0</v>
      </c>
      <c r="M104" s="114">
        <f>IFERROR(IF('Payroll 2020'!C104='Payroll 2020'!$A$3,IF('Income Statement 2020'!$D$22&gt;0,'Income Statement 2020'!$D$22*0.1*('Payroll 2020'!G104/SUMIF($C$83:$C$121,$A$3,$G$83:$G$121)),0),0),0)</f>
        <v>0</v>
      </c>
      <c r="N104" s="224">
        <f t="shared" si="31"/>
        <v>0</v>
      </c>
    </row>
    <row r="105" spans="1:14" hidden="1" outlineLevel="1" x14ac:dyDescent="0.25">
      <c r="A105" s="18"/>
      <c r="B105" s="63">
        <v>23</v>
      </c>
      <c r="E105" s="124"/>
      <c r="F105" s="45">
        <f t="shared" si="24"/>
        <v>0</v>
      </c>
      <c r="G105" s="303">
        <f t="shared" si="32"/>
        <v>0</v>
      </c>
      <c r="H105" s="114">
        <f t="shared" si="28"/>
        <v>0</v>
      </c>
      <c r="I105" s="114">
        <f t="shared" si="29"/>
        <v>0</v>
      </c>
      <c r="J105" s="114">
        <f t="shared" si="25"/>
        <v>0</v>
      </c>
      <c r="K105" s="114">
        <f t="shared" si="26"/>
        <v>0</v>
      </c>
      <c r="L105" s="224">
        <f t="shared" si="30"/>
        <v>0</v>
      </c>
      <c r="M105" s="114">
        <f>IFERROR(IF('Payroll 2020'!C105='Payroll 2020'!$A$3,IF('Income Statement 2020'!$D$22&gt;0,'Income Statement 2020'!$D$22*0.1*('Payroll 2020'!G105/SUMIF($C$83:$C$121,$A$3,$G$83:$G$121)),0),0),0)</f>
        <v>0</v>
      </c>
      <c r="N105" s="224">
        <f t="shared" si="31"/>
        <v>0</v>
      </c>
    </row>
    <row r="106" spans="1:14" hidden="1" outlineLevel="1" x14ac:dyDescent="0.25">
      <c r="A106" s="18"/>
      <c r="B106" s="63">
        <v>24</v>
      </c>
      <c r="E106" s="124"/>
      <c r="F106" s="45">
        <f t="shared" si="24"/>
        <v>0</v>
      </c>
      <c r="G106" s="303">
        <f t="shared" si="32"/>
        <v>0</v>
      </c>
      <c r="H106" s="114">
        <f t="shared" si="28"/>
        <v>0</v>
      </c>
      <c r="I106" s="114">
        <f t="shared" si="29"/>
        <v>0</v>
      </c>
      <c r="J106" s="114">
        <f t="shared" si="25"/>
        <v>0</v>
      </c>
      <c r="K106" s="114">
        <f t="shared" si="26"/>
        <v>0</v>
      </c>
      <c r="L106" s="224">
        <f t="shared" si="30"/>
        <v>0</v>
      </c>
      <c r="M106" s="114">
        <f>IFERROR(IF('Payroll 2020'!C106='Payroll 2020'!$A$3,IF('Income Statement 2020'!$D$22&gt;0,'Income Statement 2020'!$D$22*0.1*('Payroll 2020'!G106/SUMIF($C$83:$C$121,$A$3,$G$83:$G$121)),0),0),0)</f>
        <v>0</v>
      </c>
      <c r="N106" s="224">
        <f t="shared" si="31"/>
        <v>0</v>
      </c>
    </row>
    <row r="107" spans="1:14" hidden="1" outlineLevel="1" x14ac:dyDescent="0.25">
      <c r="A107" s="18"/>
      <c r="B107" s="63">
        <v>25</v>
      </c>
      <c r="E107" s="124"/>
      <c r="F107" s="45">
        <f t="shared" si="24"/>
        <v>0</v>
      </c>
      <c r="G107" s="303">
        <f t="shared" si="32"/>
        <v>0</v>
      </c>
      <c r="H107" s="114">
        <f t="shared" si="28"/>
        <v>0</v>
      </c>
      <c r="I107" s="114">
        <f t="shared" si="29"/>
        <v>0</v>
      </c>
      <c r="J107" s="114">
        <f t="shared" si="25"/>
        <v>0</v>
      </c>
      <c r="K107" s="114">
        <f t="shared" si="26"/>
        <v>0</v>
      </c>
      <c r="L107" s="224">
        <f t="shared" si="30"/>
        <v>0</v>
      </c>
      <c r="M107" s="114">
        <f>IFERROR(IF('Payroll 2020'!C107='Payroll 2020'!$A$3,IF('Income Statement 2020'!$D$22&gt;0,'Income Statement 2020'!$D$22*0.1*('Payroll 2020'!G107/SUMIF($C$83:$C$121,$A$3,$G$83:$G$121)),0),0),0)</f>
        <v>0</v>
      </c>
      <c r="N107" s="224">
        <f t="shared" si="31"/>
        <v>0</v>
      </c>
    </row>
    <row r="108" spans="1:14" hidden="1" outlineLevel="1" x14ac:dyDescent="0.25">
      <c r="A108" s="18"/>
      <c r="B108" s="63">
        <v>26</v>
      </c>
      <c r="E108" s="124"/>
      <c r="F108" s="45">
        <f t="shared" si="24"/>
        <v>0</v>
      </c>
      <c r="G108" s="303">
        <f t="shared" si="32"/>
        <v>0</v>
      </c>
      <c r="H108" s="114">
        <f t="shared" si="28"/>
        <v>0</v>
      </c>
      <c r="I108" s="114">
        <f t="shared" si="29"/>
        <v>0</v>
      </c>
      <c r="J108" s="114">
        <f t="shared" si="25"/>
        <v>0</v>
      </c>
      <c r="K108" s="114">
        <f t="shared" si="26"/>
        <v>0</v>
      </c>
      <c r="L108" s="224">
        <f t="shared" si="30"/>
        <v>0</v>
      </c>
      <c r="M108" s="114">
        <f>IFERROR(IF('Payroll 2020'!C108='Payroll 2020'!$A$3,IF('Income Statement 2020'!$D$22&gt;0,'Income Statement 2020'!$D$22*0.1*('Payroll 2020'!G108/SUMIF($C$83:$C$121,$A$3,$G$83:$G$121)),0),0),0)</f>
        <v>0</v>
      </c>
      <c r="N108" s="224">
        <f t="shared" si="31"/>
        <v>0</v>
      </c>
    </row>
    <row r="109" spans="1:14" hidden="1" outlineLevel="1" x14ac:dyDescent="0.25">
      <c r="A109" s="18"/>
      <c r="B109" s="63">
        <v>27</v>
      </c>
      <c r="E109" s="124"/>
      <c r="F109" s="45">
        <f t="shared" si="24"/>
        <v>0</v>
      </c>
      <c r="G109" s="303">
        <f t="shared" si="32"/>
        <v>0</v>
      </c>
      <c r="H109" s="114">
        <f t="shared" si="28"/>
        <v>0</v>
      </c>
      <c r="I109" s="114">
        <f t="shared" si="29"/>
        <v>0</v>
      </c>
      <c r="J109" s="114">
        <f t="shared" si="25"/>
        <v>0</v>
      </c>
      <c r="K109" s="114">
        <f t="shared" si="26"/>
        <v>0</v>
      </c>
      <c r="L109" s="224">
        <f t="shared" si="30"/>
        <v>0</v>
      </c>
      <c r="M109" s="114">
        <f>IFERROR(IF('Payroll 2020'!C109='Payroll 2020'!$A$3,IF('Income Statement 2020'!$D$22&gt;0,'Income Statement 2020'!$D$22*0.1*('Payroll 2020'!G109/SUMIF($C$83:$C$121,$A$3,$G$83:$G$121)),0),0),0)</f>
        <v>0</v>
      </c>
      <c r="N109" s="224">
        <f t="shared" si="31"/>
        <v>0</v>
      </c>
    </row>
    <row r="110" spans="1:14" hidden="1" outlineLevel="1" x14ac:dyDescent="0.25">
      <c r="A110" s="18"/>
      <c r="B110" s="63">
        <v>28</v>
      </c>
      <c r="E110" s="124"/>
      <c r="F110" s="45">
        <f t="shared" si="24"/>
        <v>0</v>
      </c>
      <c r="G110" s="303">
        <f t="shared" si="32"/>
        <v>0</v>
      </c>
      <c r="H110" s="114">
        <f t="shared" si="28"/>
        <v>0</v>
      </c>
      <c r="I110" s="114">
        <f t="shared" si="29"/>
        <v>0</v>
      </c>
      <c r="J110" s="114">
        <f t="shared" si="25"/>
        <v>0</v>
      </c>
      <c r="K110" s="114">
        <f t="shared" si="26"/>
        <v>0</v>
      </c>
      <c r="L110" s="224">
        <f t="shared" si="30"/>
        <v>0</v>
      </c>
      <c r="M110" s="114">
        <f>IFERROR(IF('Payroll 2020'!C110='Payroll 2020'!$A$3,IF('Income Statement 2020'!$D$22&gt;0,'Income Statement 2020'!$D$22*0.1*('Payroll 2020'!G110/SUMIF($C$83:$C$121,$A$3,$G$83:$G$121)),0),0),0)</f>
        <v>0</v>
      </c>
      <c r="N110" s="224">
        <f t="shared" si="31"/>
        <v>0</v>
      </c>
    </row>
    <row r="111" spans="1:14" hidden="1" outlineLevel="1" x14ac:dyDescent="0.25">
      <c r="A111" s="18"/>
      <c r="B111" s="63">
        <v>29</v>
      </c>
      <c r="E111" s="124"/>
      <c r="F111" s="45">
        <f t="shared" si="24"/>
        <v>0</v>
      </c>
      <c r="G111" s="303">
        <f t="shared" si="32"/>
        <v>0</v>
      </c>
      <c r="H111" s="114">
        <f t="shared" si="28"/>
        <v>0</v>
      </c>
      <c r="I111" s="114">
        <f t="shared" si="29"/>
        <v>0</v>
      </c>
      <c r="J111" s="114">
        <f t="shared" si="25"/>
        <v>0</v>
      </c>
      <c r="K111" s="114">
        <f t="shared" si="26"/>
        <v>0</v>
      </c>
      <c r="L111" s="224">
        <f t="shared" si="30"/>
        <v>0</v>
      </c>
      <c r="M111" s="114">
        <f>IFERROR(IF('Payroll 2020'!C111='Payroll 2020'!$A$3,IF('Income Statement 2020'!$D$22&gt;0,'Income Statement 2020'!$D$22*0.1*('Payroll 2020'!G111/SUMIF($C$83:$C$121,$A$3,$G$83:$G$121)),0),0),0)</f>
        <v>0</v>
      </c>
      <c r="N111" s="224">
        <f t="shared" si="31"/>
        <v>0</v>
      </c>
    </row>
    <row r="112" spans="1:14" hidden="1" outlineLevel="1" x14ac:dyDescent="0.25">
      <c r="A112" s="18"/>
      <c r="B112" s="63">
        <v>30</v>
      </c>
      <c r="E112" s="124"/>
      <c r="F112" s="45">
        <f t="shared" si="24"/>
        <v>0</v>
      </c>
      <c r="G112" s="303">
        <f t="shared" si="32"/>
        <v>0</v>
      </c>
      <c r="H112" s="114">
        <f t="shared" si="28"/>
        <v>0</v>
      </c>
      <c r="I112" s="114">
        <f t="shared" si="29"/>
        <v>0</v>
      </c>
      <c r="J112" s="114">
        <f t="shared" si="25"/>
        <v>0</v>
      </c>
      <c r="K112" s="114">
        <f t="shared" si="26"/>
        <v>0</v>
      </c>
      <c r="L112" s="224">
        <f t="shared" si="30"/>
        <v>0</v>
      </c>
      <c r="M112" s="114">
        <f>IFERROR(IF('Payroll 2020'!C112='Payroll 2020'!$A$3,IF('Income Statement 2020'!$D$22&gt;0,'Income Statement 2020'!$D$22*0.1*('Payroll 2020'!G112/SUMIF($C$83:$C$121,$A$3,$G$83:$G$121)),0),0),0)</f>
        <v>0</v>
      </c>
      <c r="N112" s="224">
        <f t="shared" si="31"/>
        <v>0</v>
      </c>
    </row>
    <row r="113" spans="1:14" hidden="1" outlineLevel="1" x14ac:dyDescent="0.25">
      <c r="A113" s="18"/>
      <c r="B113" s="63">
        <v>31</v>
      </c>
      <c r="E113" s="124"/>
      <c r="F113" s="45">
        <f t="shared" si="24"/>
        <v>0</v>
      </c>
      <c r="G113" s="303">
        <f t="shared" si="32"/>
        <v>0</v>
      </c>
      <c r="H113" s="114">
        <f t="shared" si="28"/>
        <v>0</v>
      </c>
      <c r="I113" s="114">
        <f t="shared" si="29"/>
        <v>0</v>
      </c>
      <c r="J113" s="114">
        <f t="shared" si="25"/>
        <v>0</v>
      </c>
      <c r="K113" s="114">
        <f t="shared" si="26"/>
        <v>0</v>
      </c>
      <c r="L113" s="224">
        <f t="shared" si="30"/>
        <v>0</v>
      </c>
      <c r="M113" s="114">
        <f>IFERROR(IF('Payroll 2020'!C113='Payroll 2020'!$A$3,IF('Income Statement 2020'!$D$22&gt;0,'Income Statement 2020'!$D$22*0.1*('Payroll 2020'!G113/SUMIF($C$83:$C$121,$A$3,$G$83:$G$121)),0),0),0)</f>
        <v>0</v>
      </c>
      <c r="N113" s="224">
        <f t="shared" si="31"/>
        <v>0</v>
      </c>
    </row>
    <row r="114" spans="1:14" hidden="1" outlineLevel="1" x14ac:dyDescent="0.25">
      <c r="A114" s="18"/>
      <c r="B114" s="63">
        <v>32</v>
      </c>
      <c r="E114" s="124"/>
      <c r="F114" s="45">
        <f t="shared" si="24"/>
        <v>0</v>
      </c>
      <c r="G114" s="303">
        <f t="shared" si="32"/>
        <v>0</v>
      </c>
      <c r="H114" s="114">
        <f t="shared" si="28"/>
        <v>0</v>
      </c>
      <c r="I114" s="114">
        <f t="shared" si="29"/>
        <v>0</v>
      </c>
      <c r="J114" s="114">
        <f t="shared" si="25"/>
        <v>0</v>
      </c>
      <c r="K114" s="114">
        <f t="shared" si="26"/>
        <v>0</v>
      </c>
      <c r="L114" s="224">
        <f t="shared" si="30"/>
        <v>0</v>
      </c>
      <c r="M114" s="114">
        <f>IFERROR(IF('Payroll 2020'!C114='Payroll 2020'!$A$3,IF('Income Statement 2020'!$D$22&gt;0,'Income Statement 2020'!$D$22*0.1*('Payroll 2020'!G114/SUMIF($C$83:$C$121,$A$3,$G$83:$G$121)),0),0),0)</f>
        <v>0</v>
      </c>
      <c r="N114" s="224">
        <f t="shared" si="31"/>
        <v>0</v>
      </c>
    </row>
    <row r="115" spans="1:14" hidden="1" outlineLevel="1" x14ac:dyDescent="0.25">
      <c r="A115" s="18"/>
      <c r="B115" s="63">
        <v>33</v>
      </c>
      <c r="E115" s="124"/>
      <c r="F115" s="45">
        <f t="shared" si="24"/>
        <v>0</v>
      </c>
      <c r="G115" s="303">
        <f t="shared" si="32"/>
        <v>0</v>
      </c>
      <c r="H115" s="114">
        <f t="shared" si="28"/>
        <v>0</v>
      </c>
      <c r="I115" s="114">
        <f t="shared" si="29"/>
        <v>0</v>
      </c>
      <c r="J115" s="114">
        <f t="shared" si="25"/>
        <v>0</v>
      </c>
      <c r="K115" s="114">
        <f t="shared" si="26"/>
        <v>0</v>
      </c>
      <c r="L115" s="224">
        <f t="shared" si="30"/>
        <v>0</v>
      </c>
      <c r="M115" s="114">
        <f>IFERROR(IF('Payroll 2020'!C115='Payroll 2020'!$A$3,IF('Income Statement 2020'!$D$22&gt;0,'Income Statement 2020'!$D$22*0.1*('Payroll 2020'!G115/SUMIF($C$83:$C$121,$A$3,$G$83:$G$121)),0),0),0)</f>
        <v>0</v>
      </c>
      <c r="N115" s="224">
        <f t="shared" si="31"/>
        <v>0</v>
      </c>
    </row>
    <row r="116" spans="1:14" hidden="1" outlineLevel="1" x14ac:dyDescent="0.25">
      <c r="A116" s="18"/>
      <c r="B116" s="63">
        <v>34</v>
      </c>
      <c r="E116" s="124"/>
      <c r="F116" s="45">
        <f t="shared" si="24"/>
        <v>0</v>
      </c>
      <c r="G116" s="303">
        <f t="shared" si="32"/>
        <v>0</v>
      </c>
      <c r="H116" s="114">
        <f t="shared" si="28"/>
        <v>0</v>
      </c>
      <c r="I116" s="114">
        <f t="shared" si="29"/>
        <v>0</v>
      </c>
      <c r="J116" s="114">
        <f t="shared" si="25"/>
        <v>0</v>
      </c>
      <c r="K116" s="114">
        <f t="shared" si="26"/>
        <v>0</v>
      </c>
      <c r="L116" s="224">
        <f t="shared" si="30"/>
        <v>0</v>
      </c>
      <c r="M116" s="114">
        <f>IFERROR(IF('Payroll 2020'!C116='Payroll 2020'!$A$3,IF('Income Statement 2020'!$D$22&gt;0,'Income Statement 2020'!$D$22*0.1*('Payroll 2020'!G116/SUMIF($C$83:$C$121,$A$3,$G$83:$G$121)),0),0),0)</f>
        <v>0</v>
      </c>
      <c r="N116" s="224">
        <f t="shared" si="31"/>
        <v>0</v>
      </c>
    </row>
    <row r="117" spans="1:14" hidden="1" outlineLevel="1" x14ac:dyDescent="0.25">
      <c r="A117" s="18"/>
      <c r="B117" s="63">
        <v>35</v>
      </c>
      <c r="E117" s="124"/>
      <c r="F117" s="45">
        <f t="shared" si="24"/>
        <v>0</v>
      </c>
      <c r="G117" s="303">
        <f t="shared" si="32"/>
        <v>0</v>
      </c>
      <c r="H117" s="114">
        <f t="shared" si="28"/>
        <v>0</v>
      </c>
      <c r="I117" s="114">
        <f t="shared" si="29"/>
        <v>0</v>
      </c>
      <c r="J117" s="114">
        <f t="shared" si="25"/>
        <v>0</v>
      </c>
      <c r="K117" s="114">
        <f t="shared" si="26"/>
        <v>0</v>
      </c>
      <c r="L117" s="224">
        <f t="shared" si="30"/>
        <v>0</v>
      </c>
      <c r="M117" s="114">
        <f>IFERROR(IF('Payroll 2020'!C117='Payroll 2020'!$A$3,IF('Income Statement 2020'!$D$22&gt;0,'Income Statement 2020'!$D$22*0.1*('Payroll 2020'!G117/SUMIF($C$83:$C$121,$A$3,$G$83:$G$121)),0),0),0)</f>
        <v>0</v>
      </c>
      <c r="N117" s="224">
        <f t="shared" si="31"/>
        <v>0</v>
      </c>
    </row>
    <row r="118" spans="1:14" hidden="1" outlineLevel="1" x14ac:dyDescent="0.25">
      <c r="A118" s="18"/>
      <c r="B118" s="63">
        <v>36</v>
      </c>
      <c r="E118" s="124"/>
      <c r="F118" s="45">
        <f t="shared" si="24"/>
        <v>0</v>
      </c>
      <c r="G118" s="303">
        <f t="shared" si="32"/>
        <v>0</v>
      </c>
      <c r="H118" s="114">
        <f t="shared" si="28"/>
        <v>0</v>
      </c>
      <c r="I118" s="114">
        <f t="shared" si="29"/>
        <v>0</v>
      </c>
      <c r="J118" s="114">
        <f t="shared" si="25"/>
        <v>0</v>
      </c>
      <c r="K118" s="114">
        <f t="shared" si="26"/>
        <v>0</v>
      </c>
      <c r="L118" s="224">
        <f t="shared" si="30"/>
        <v>0</v>
      </c>
      <c r="M118" s="114">
        <f>IFERROR(IF('Payroll 2020'!C118='Payroll 2020'!$A$3,IF('Income Statement 2020'!$D$22&gt;0,'Income Statement 2020'!$D$22*0.1*('Payroll 2020'!G118/SUMIF($C$83:$C$121,$A$3,$G$83:$G$121)),0),0),0)</f>
        <v>0</v>
      </c>
      <c r="N118" s="224">
        <f t="shared" si="31"/>
        <v>0</v>
      </c>
    </row>
    <row r="119" spans="1:14" hidden="1" outlineLevel="1" x14ac:dyDescent="0.25">
      <c r="A119" s="18"/>
      <c r="B119" s="63">
        <v>37</v>
      </c>
      <c r="E119" s="124"/>
      <c r="F119" s="45">
        <f t="shared" si="24"/>
        <v>0</v>
      </c>
      <c r="G119" s="303">
        <f t="shared" si="32"/>
        <v>0</v>
      </c>
      <c r="H119" s="114">
        <f t="shared" si="28"/>
        <v>0</v>
      </c>
      <c r="I119" s="114">
        <f t="shared" si="29"/>
        <v>0</v>
      </c>
      <c r="J119" s="114">
        <f t="shared" si="25"/>
        <v>0</v>
      </c>
      <c r="K119" s="114">
        <f t="shared" si="26"/>
        <v>0</v>
      </c>
      <c r="L119" s="224">
        <f t="shared" si="30"/>
        <v>0</v>
      </c>
      <c r="M119" s="114">
        <f>IFERROR(IF('Payroll 2020'!C119='Payroll 2020'!$A$3,IF('Income Statement 2020'!$D$22&gt;0,'Income Statement 2020'!$D$22*0.1*('Payroll 2020'!G119/SUMIF($C$83:$C$121,$A$3,$G$83:$G$121)),0),0),0)</f>
        <v>0</v>
      </c>
      <c r="N119" s="224">
        <f t="shared" si="31"/>
        <v>0</v>
      </c>
    </row>
    <row r="120" spans="1:14" hidden="1" outlineLevel="1" x14ac:dyDescent="0.25">
      <c r="A120" s="18"/>
      <c r="B120" s="63">
        <v>38</v>
      </c>
      <c r="E120" s="124"/>
      <c r="F120" s="45">
        <f t="shared" si="24"/>
        <v>0</v>
      </c>
      <c r="G120" s="303">
        <f t="shared" si="32"/>
        <v>0</v>
      </c>
      <c r="H120" s="114">
        <f t="shared" si="28"/>
        <v>0</v>
      </c>
      <c r="I120" s="114">
        <f t="shared" si="29"/>
        <v>0</v>
      </c>
      <c r="J120" s="114">
        <f t="shared" si="25"/>
        <v>0</v>
      </c>
      <c r="K120" s="114">
        <f t="shared" si="26"/>
        <v>0</v>
      </c>
      <c r="L120" s="224">
        <f t="shared" si="30"/>
        <v>0</v>
      </c>
      <c r="M120" s="114">
        <f>IFERROR(IF('Payroll 2020'!C120='Payroll 2020'!$A$3,IF('Income Statement 2020'!$D$22&gt;0,'Income Statement 2020'!$D$22*0.1*('Payroll 2020'!G120/SUMIF($C$83:$C$121,$A$3,$G$83:$G$121)),0),0),0)</f>
        <v>0</v>
      </c>
      <c r="N120" s="224">
        <f t="shared" si="31"/>
        <v>0</v>
      </c>
    </row>
    <row r="121" spans="1:14" ht="17" hidden="1" outlineLevel="1" thickBot="1" x14ac:dyDescent="0.3">
      <c r="A121" s="19"/>
      <c r="B121" s="126">
        <v>39</v>
      </c>
      <c r="C121" s="16"/>
      <c r="D121" s="16"/>
      <c r="E121" s="310"/>
      <c r="F121" s="45">
        <f t="shared" si="24"/>
        <v>0</v>
      </c>
      <c r="G121" s="304">
        <f t="shared" si="32"/>
        <v>0</v>
      </c>
      <c r="H121" s="305">
        <f t="shared" si="28"/>
        <v>0</v>
      </c>
      <c r="I121" s="305">
        <f t="shared" si="29"/>
        <v>0</v>
      </c>
      <c r="J121" s="305">
        <f t="shared" si="25"/>
        <v>0</v>
      </c>
      <c r="K121" s="305">
        <f t="shared" si="26"/>
        <v>0</v>
      </c>
      <c r="L121" s="306">
        <f t="shared" si="30"/>
        <v>0</v>
      </c>
      <c r="M121" s="305">
        <f>IFERROR(IF('Payroll 2020'!C121='Payroll 2020'!$A$3,IF('Income Statement 2020'!$D$22&gt;0,'Income Statement 2020'!$D$22*0.1*('Payroll 2020'!G121/SUMIF($C$83:$C$121,$A$3,$G$83:$G$121)),0),0),0)</f>
        <v>0</v>
      </c>
      <c r="N121" s="306">
        <f t="shared" si="31"/>
        <v>0</v>
      </c>
    </row>
    <row r="122" spans="1:14" hidden="1" outlineLevel="1" x14ac:dyDescent="0.25">
      <c r="A122" s="2" t="s">
        <v>19</v>
      </c>
      <c r="B122" s="2"/>
      <c r="C122" s="2"/>
      <c r="D122" s="2"/>
      <c r="E122" s="313">
        <f>AVERAGE(E83:E121)</f>
        <v>33.375</v>
      </c>
      <c r="F122" s="100">
        <f>IFERROR(SUM(F83:F121),0)</f>
        <v>1280</v>
      </c>
      <c r="G122" s="303">
        <f t="shared" ref="G122:N122" si="33">IFERROR(SUM(G83:G121),0)</f>
        <v>42720</v>
      </c>
      <c r="H122" s="303">
        <f t="shared" si="33"/>
        <v>3417.6000000000008</v>
      </c>
      <c r="I122" s="303">
        <f t="shared" si="33"/>
        <v>2050.5600000000004</v>
      </c>
      <c r="J122" s="303">
        <f t="shared" si="33"/>
        <v>3417.6000000000008</v>
      </c>
      <c r="K122" s="303">
        <f t="shared" si="33"/>
        <v>0</v>
      </c>
      <c r="L122" s="303">
        <f t="shared" si="33"/>
        <v>33834.239999999998</v>
      </c>
      <c r="M122" s="303">
        <f t="shared" si="33"/>
        <v>0</v>
      </c>
      <c r="N122" s="303">
        <f t="shared" si="33"/>
        <v>33834.239999999998</v>
      </c>
    </row>
    <row r="123" spans="1:14" hidden="1" outlineLevel="1" x14ac:dyDescent="0.25"/>
    <row r="124" spans="1:14" collapsed="1" x14ac:dyDescent="0.25"/>
    <row r="125" spans="1:14" x14ac:dyDescent="0.25">
      <c r="A125" s="2" t="s">
        <v>23</v>
      </c>
      <c r="B125" s="1" t="s">
        <v>17</v>
      </c>
      <c r="C125" s="20">
        <v>43891</v>
      </c>
      <c r="D125" s="1" t="s">
        <v>18</v>
      </c>
      <c r="E125" s="20">
        <v>43921</v>
      </c>
      <c r="F125" s="1" t="s">
        <v>42</v>
      </c>
      <c r="G125" s="1">
        <f>NETWORKDAYS(C125,E125)</f>
        <v>22</v>
      </c>
    </row>
    <row r="126" spans="1:14" ht="57" customHeight="1" outlineLevel="1" x14ac:dyDescent="0.25">
      <c r="A126" s="11" t="s">
        <v>2</v>
      </c>
      <c r="B126" s="10" t="s">
        <v>12</v>
      </c>
      <c r="C126" s="10" t="s">
        <v>1</v>
      </c>
      <c r="D126" s="10" t="s">
        <v>483</v>
      </c>
      <c r="E126" s="10" t="s">
        <v>13</v>
      </c>
      <c r="F126" s="10" t="s">
        <v>15</v>
      </c>
      <c r="G126" s="10" t="str">
        <f>G81</f>
        <v>Monthly Wage including all charges</v>
      </c>
      <c r="H126" s="10" t="str">
        <f t="shared" ref="H126:J126" si="34">H81</f>
        <v>URSSAF</v>
      </c>
      <c r="I126" s="10" t="str">
        <f t="shared" si="34"/>
        <v>Impot à la source</v>
      </c>
      <c r="J126" s="10" t="str">
        <f t="shared" si="34"/>
        <v>Employee Pension</v>
      </c>
      <c r="K126" s="10"/>
      <c r="L126" s="10" t="s">
        <v>14</v>
      </c>
      <c r="M126" s="10" t="s">
        <v>11</v>
      </c>
      <c r="N126" s="10" t="s">
        <v>20</v>
      </c>
    </row>
    <row r="127" spans="1:14" ht="17" outlineLevel="1" thickBot="1" x14ac:dyDescent="0.3">
      <c r="A127" s="12"/>
      <c r="B127" s="13"/>
      <c r="C127" s="13"/>
      <c r="D127" s="13"/>
      <c r="E127" s="13"/>
      <c r="F127" s="13"/>
      <c r="G127" s="314">
        <f>H127+I127+J127</f>
        <v>0.20800000000000002</v>
      </c>
      <c r="H127" s="315">
        <f>H82</f>
        <v>8.0000000000000016E-2</v>
      </c>
      <c r="I127" s="315">
        <f t="shared" ref="I127:J127" si="35">I82</f>
        <v>4.8000000000000001E-2</v>
      </c>
      <c r="J127" s="315">
        <f t="shared" si="35"/>
        <v>8.0000000000000016E-2</v>
      </c>
      <c r="K127" s="14"/>
      <c r="L127" s="15"/>
      <c r="M127" s="14">
        <f>'Payroll 2020-2024'!$L$12</f>
        <v>0.1</v>
      </c>
      <c r="N127" s="15"/>
    </row>
    <row r="128" spans="1:14" outlineLevel="1" x14ac:dyDescent="0.25">
      <c r="A128" s="18" t="s">
        <v>178</v>
      </c>
      <c r="B128" s="63">
        <v>1</v>
      </c>
      <c r="C128" s="5" t="s">
        <v>3</v>
      </c>
      <c r="D128" s="5" t="s">
        <v>484</v>
      </c>
      <c r="E128" s="308">
        <f>E38</f>
        <v>48</v>
      </c>
      <c r="F128" s="45">
        <f t="shared" ref="F128:F166" si="36">IF(C128=$A$3,$C$3*NETWORKDAYS($C$125,$E$125),0)</f>
        <v>176</v>
      </c>
      <c r="G128" s="303">
        <f>IFERROR(E128*F128,0)</f>
        <v>8448</v>
      </c>
      <c r="H128" s="114">
        <f>IFERROR(G128*$H$37,0)</f>
        <v>675.84000000000015</v>
      </c>
      <c r="I128" s="114">
        <f>IFERROR(G128*$I$37,0)</f>
        <v>405.50400000000002</v>
      </c>
      <c r="J128" s="114">
        <f t="shared" ref="J128:J166" si="37">IF(C128=$A$3,G128*$J$37,0)</f>
        <v>675.84000000000015</v>
      </c>
      <c r="K128" s="114">
        <f t="shared" ref="K128:K166" si="38">IF(C128=$A$3,G128*$K$37,0)</f>
        <v>0</v>
      </c>
      <c r="L128" s="114">
        <f>IFERROR(G128-SUM(H128:K128),0)</f>
        <v>6690.8159999999998</v>
      </c>
      <c r="M128" s="114">
        <f>IFERROR(IF('Payroll 2020'!C128='Payroll 2020'!$A$3,IF('Income Statement 2020'!$E$22&gt;0,'Income Statement 2020'!$E$22*0.1*('Payroll 2020'!G128/SUMIF($C$128:$C$166,$A$3,$G$128:$G$166)),0),0),0)</f>
        <v>0</v>
      </c>
      <c r="N128" s="114">
        <f>IFERROR(L128+M128,0)</f>
        <v>6690.8159999999998</v>
      </c>
    </row>
    <row r="129" spans="1:14" outlineLevel="1" x14ac:dyDescent="0.25">
      <c r="A129" s="18" t="s">
        <v>179</v>
      </c>
      <c r="B129" s="63">
        <v>2</v>
      </c>
      <c r="C129" s="5" t="s">
        <v>3</v>
      </c>
      <c r="D129" s="5" t="s">
        <v>484</v>
      </c>
      <c r="E129" s="308">
        <f t="shared" ref="E129:E135" si="39">E39</f>
        <v>45</v>
      </c>
      <c r="F129" s="45">
        <f t="shared" si="36"/>
        <v>176</v>
      </c>
      <c r="G129" s="303">
        <f t="shared" ref="G129:G166" si="40">IFERROR(E129*F129,0)</f>
        <v>7920</v>
      </c>
      <c r="H129" s="114">
        <f t="shared" ref="H129:H166" si="41">IFERROR(G129*$H$37,0)</f>
        <v>633.60000000000014</v>
      </c>
      <c r="I129" s="114">
        <f t="shared" ref="I129:I166" si="42">IFERROR(G129*$I$37,0)</f>
        <v>380.16</v>
      </c>
      <c r="J129" s="114">
        <f t="shared" si="37"/>
        <v>633.60000000000014</v>
      </c>
      <c r="K129" s="114">
        <f t="shared" si="38"/>
        <v>0</v>
      </c>
      <c r="L129" s="114">
        <f t="shared" ref="L129:L166" si="43">IFERROR(G129-SUM(H129:K129),0)</f>
        <v>6272.6399999999994</v>
      </c>
      <c r="M129" s="114">
        <f>IFERROR(IF('Payroll 2020'!C129='Payroll 2020'!$A$3,IF('Income Statement 2020'!$E$22&gt;0,'Income Statement 2020'!$E$22*0.1*('Payroll 2020'!G129/SUMIF($C$128:$C$166,$A$3,$G$128:$G$166)),0),0),0)</f>
        <v>0</v>
      </c>
      <c r="N129" s="114">
        <f t="shared" ref="N129:N166" si="44">IFERROR(L129+M129,0)</f>
        <v>6272.6399999999994</v>
      </c>
    </row>
    <row r="130" spans="1:14" outlineLevel="1" x14ac:dyDescent="0.25">
      <c r="A130" s="18" t="s">
        <v>180</v>
      </c>
      <c r="B130" s="63">
        <v>3</v>
      </c>
      <c r="C130" s="5" t="s">
        <v>3</v>
      </c>
      <c r="D130" s="5" t="s">
        <v>484</v>
      </c>
      <c r="E130" s="308">
        <f t="shared" si="39"/>
        <v>37</v>
      </c>
      <c r="F130" s="45">
        <f t="shared" si="36"/>
        <v>176</v>
      </c>
      <c r="G130" s="303">
        <f t="shared" si="40"/>
        <v>6512</v>
      </c>
      <c r="H130" s="114">
        <f t="shared" si="41"/>
        <v>520.96000000000015</v>
      </c>
      <c r="I130" s="114">
        <f t="shared" si="42"/>
        <v>312.57600000000002</v>
      </c>
      <c r="J130" s="114">
        <f t="shared" si="37"/>
        <v>520.96000000000015</v>
      </c>
      <c r="K130" s="114">
        <f t="shared" si="38"/>
        <v>0</v>
      </c>
      <c r="L130" s="114">
        <f t="shared" si="43"/>
        <v>5157.5039999999999</v>
      </c>
      <c r="M130" s="114">
        <f>IFERROR(IF('Payroll 2020'!C130='Payroll 2020'!$A$3,IF('Income Statement 2020'!$E$22&gt;0,'Income Statement 2020'!$E$22*0.1*('Payroll 2020'!G130/SUMIF($C$128:$C$166,$A$3,$G$128:$G$166)),0),0),0)</f>
        <v>0</v>
      </c>
      <c r="N130" s="114">
        <f t="shared" si="44"/>
        <v>5157.5039999999999</v>
      </c>
    </row>
    <row r="131" spans="1:14" outlineLevel="1" x14ac:dyDescent="0.25">
      <c r="A131" s="18" t="s">
        <v>181</v>
      </c>
      <c r="B131" s="63">
        <v>4</v>
      </c>
      <c r="C131" s="5" t="s">
        <v>3</v>
      </c>
      <c r="D131" s="5" t="s">
        <v>485</v>
      </c>
      <c r="E131" s="308">
        <f t="shared" si="39"/>
        <v>23</v>
      </c>
      <c r="F131" s="45">
        <f t="shared" si="36"/>
        <v>176</v>
      </c>
      <c r="G131" s="303">
        <f t="shared" si="40"/>
        <v>4048</v>
      </c>
      <c r="H131" s="114">
        <f t="shared" si="41"/>
        <v>323.84000000000009</v>
      </c>
      <c r="I131" s="114">
        <f t="shared" si="42"/>
        <v>194.304</v>
      </c>
      <c r="J131" s="114">
        <f t="shared" si="37"/>
        <v>323.84000000000009</v>
      </c>
      <c r="K131" s="114">
        <f t="shared" si="38"/>
        <v>0</v>
      </c>
      <c r="L131" s="114">
        <f t="shared" si="43"/>
        <v>3206.0159999999996</v>
      </c>
      <c r="M131" s="114">
        <f>IFERROR(IF('Payroll 2020'!C131='Payroll 2020'!$A$3,IF('Income Statement 2020'!$E$22&gt;0,'Income Statement 2020'!$E$22*0.1*('Payroll 2020'!G131/SUMIF($C$128:$C$166,$A$3,$G$128:$G$166)),0),0),0)</f>
        <v>0</v>
      </c>
      <c r="N131" s="114">
        <f t="shared" si="44"/>
        <v>3206.0159999999996</v>
      </c>
    </row>
    <row r="132" spans="1:14" outlineLevel="1" x14ac:dyDescent="0.25">
      <c r="A132" s="18" t="s">
        <v>182</v>
      </c>
      <c r="B132" s="63">
        <v>5</v>
      </c>
      <c r="C132" s="5" t="s">
        <v>3</v>
      </c>
      <c r="D132" s="5" t="s">
        <v>486</v>
      </c>
      <c r="E132" s="308">
        <f t="shared" si="39"/>
        <v>40</v>
      </c>
      <c r="F132" s="45">
        <f t="shared" si="36"/>
        <v>176</v>
      </c>
      <c r="G132" s="303">
        <f t="shared" si="40"/>
        <v>7040</v>
      </c>
      <c r="H132" s="114">
        <f t="shared" si="41"/>
        <v>563.20000000000016</v>
      </c>
      <c r="I132" s="114">
        <f t="shared" si="42"/>
        <v>337.92</v>
      </c>
      <c r="J132" s="114">
        <f t="shared" si="37"/>
        <v>563.20000000000016</v>
      </c>
      <c r="K132" s="114">
        <f t="shared" si="38"/>
        <v>0</v>
      </c>
      <c r="L132" s="114">
        <f t="shared" si="43"/>
        <v>5575.68</v>
      </c>
      <c r="M132" s="114">
        <f>IFERROR(IF('Payroll 2020'!C132='Payroll 2020'!$A$3,IF('Income Statement 2020'!$E$22&gt;0,'Income Statement 2020'!$E$22*0.1*('Payroll 2020'!G132/SUMIF($C$128:$C$166,$A$3,$G$128:$G$166)),0),0),0)</f>
        <v>0</v>
      </c>
      <c r="N132" s="114">
        <f t="shared" si="44"/>
        <v>5575.68</v>
      </c>
    </row>
    <row r="133" spans="1:14" outlineLevel="1" x14ac:dyDescent="0.25">
      <c r="A133" s="18" t="s">
        <v>183</v>
      </c>
      <c r="B133" s="63">
        <v>6</v>
      </c>
      <c r="C133" s="5" t="s">
        <v>3</v>
      </c>
      <c r="D133" s="5" t="s">
        <v>486</v>
      </c>
      <c r="E133" s="308">
        <f t="shared" si="39"/>
        <v>28</v>
      </c>
      <c r="F133" s="45">
        <f t="shared" si="36"/>
        <v>176</v>
      </c>
      <c r="G133" s="303">
        <f t="shared" si="40"/>
        <v>4928</v>
      </c>
      <c r="H133" s="114">
        <f t="shared" si="41"/>
        <v>394.24000000000007</v>
      </c>
      <c r="I133" s="114">
        <f t="shared" si="42"/>
        <v>236.54400000000001</v>
      </c>
      <c r="J133" s="114">
        <f t="shared" si="37"/>
        <v>394.24000000000007</v>
      </c>
      <c r="K133" s="114">
        <f t="shared" si="38"/>
        <v>0</v>
      </c>
      <c r="L133" s="114">
        <f t="shared" si="43"/>
        <v>3902.9759999999997</v>
      </c>
      <c r="M133" s="114">
        <f>IFERROR(IF('Payroll 2020'!C133='Payroll 2020'!$A$3,IF('Income Statement 2020'!$E$22&gt;0,'Income Statement 2020'!$E$22*0.1*('Payroll 2020'!G133/SUMIF($C$128:$C$166,$A$3,$G$128:$G$166)),0),0),0)</f>
        <v>0</v>
      </c>
      <c r="N133" s="114">
        <f t="shared" si="44"/>
        <v>3902.9759999999997</v>
      </c>
    </row>
    <row r="134" spans="1:14" outlineLevel="1" x14ac:dyDescent="0.25">
      <c r="A134" s="18" t="s">
        <v>183</v>
      </c>
      <c r="B134" s="63">
        <v>7</v>
      </c>
      <c r="C134" s="5" t="s">
        <v>3</v>
      </c>
      <c r="D134" s="5" t="s">
        <v>486</v>
      </c>
      <c r="E134" s="308">
        <f t="shared" si="39"/>
        <v>23</v>
      </c>
      <c r="F134" s="45">
        <f t="shared" si="36"/>
        <v>176</v>
      </c>
      <c r="G134" s="303">
        <f t="shared" si="40"/>
        <v>4048</v>
      </c>
      <c r="H134" s="114">
        <f t="shared" si="41"/>
        <v>323.84000000000009</v>
      </c>
      <c r="I134" s="114">
        <f t="shared" si="42"/>
        <v>194.304</v>
      </c>
      <c r="J134" s="114">
        <f t="shared" si="37"/>
        <v>323.84000000000009</v>
      </c>
      <c r="K134" s="114">
        <f t="shared" si="38"/>
        <v>0</v>
      </c>
      <c r="L134" s="114">
        <f t="shared" si="43"/>
        <v>3206.0159999999996</v>
      </c>
      <c r="M134" s="114">
        <f>IFERROR(IF('Payroll 2020'!C134='Payroll 2020'!$A$3,IF('Income Statement 2020'!$E$22&gt;0,'Income Statement 2020'!$E$22*0.1*('Payroll 2020'!G134/SUMIF($C$128:$C$166,$A$3,$G$128:$G$166)),0),0),0)</f>
        <v>0</v>
      </c>
      <c r="N134" s="114">
        <f t="shared" si="44"/>
        <v>3206.0159999999996</v>
      </c>
    </row>
    <row r="135" spans="1:14" outlineLevel="1" x14ac:dyDescent="0.25">
      <c r="A135" s="18" t="s">
        <v>183</v>
      </c>
      <c r="B135" s="63">
        <v>8</v>
      </c>
      <c r="C135" s="5" t="s">
        <v>3</v>
      </c>
      <c r="D135" s="5" t="s">
        <v>486</v>
      </c>
      <c r="E135" s="308">
        <f t="shared" si="39"/>
        <v>23</v>
      </c>
      <c r="F135" s="45">
        <f t="shared" si="36"/>
        <v>176</v>
      </c>
      <c r="G135" s="303">
        <f t="shared" si="40"/>
        <v>4048</v>
      </c>
      <c r="H135" s="114">
        <f t="shared" si="41"/>
        <v>323.84000000000009</v>
      </c>
      <c r="I135" s="114">
        <f t="shared" si="42"/>
        <v>194.304</v>
      </c>
      <c r="J135" s="114">
        <f t="shared" si="37"/>
        <v>323.84000000000009</v>
      </c>
      <c r="K135" s="114">
        <f t="shared" si="38"/>
        <v>0</v>
      </c>
      <c r="L135" s="114">
        <f t="shared" si="43"/>
        <v>3206.0159999999996</v>
      </c>
      <c r="M135" s="114">
        <f>IFERROR(IF('Payroll 2020'!C135='Payroll 2020'!$A$3,IF('Income Statement 2020'!$E$22&gt;0,'Income Statement 2020'!$E$22*0.1*('Payroll 2020'!G135/SUMIF($C$128:$C$166,$A$3,$G$128:$G$166)),0),0),0)</f>
        <v>0</v>
      </c>
      <c r="N135" s="114">
        <f t="shared" si="44"/>
        <v>3206.0159999999996</v>
      </c>
    </row>
    <row r="136" spans="1:14" outlineLevel="1" x14ac:dyDescent="0.25">
      <c r="A136" s="17"/>
      <c r="B136" s="63">
        <v>9</v>
      </c>
      <c r="C136" s="8"/>
      <c r="D136" s="5"/>
      <c r="E136" s="313"/>
      <c r="F136" s="45">
        <f t="shared" si="36"/>
        <v>0</v>
      </c>
      <c r="G136" s="303">
        <f t="shared" si="40"/>
        <v>0</v>
      </c>
      <c r="H136" s="114">
        <f t="shared" si="41"/>
        <v>0</v>
      </c>
      <c r="I136" s="114">
        <f t="shared" si="42"/>
        <v>0</v>
      </c>
      <c r="J136" s="114">
        <f t="shared" si="37"/>
        <v>0</v>
      </c>
      <c r="K136" s="114">
        <f t="shared" si="38"/>
        <v>0</v>
      </c>
      <c r="L136" s="114">
        <f t="shared" si="43"/>
        <v>0</v>
      </c>
      <c r="M136" s="114">
        <f>IFERROR(IF('Payroll 2020'!C136='Payroll 2020'!$A$3,IF('Income Statement 2020'!$E$22&gt;0,'Income Statement 2020'!$E$22*0.1*('Payroll 2020'!G136/SUMIF($C$128:$C$166,$A$3,$G$128:$G$166)),0),0),0)</f>
        <v>0</v>
      </c>
      <c r="N136" s="114">
        <f t="shared" si="44"/>
        <v>0</v>
      </c>
    </row>
    <row r="137" spans="1:14" outlineLevel="1" x14ac:dyDescent="0.25">
      <c r="A137" s="17"/>
      <c r="B137" s="63">
        <v>10</v>
      </c>
      <c r="C137" s="8"/>
      <c r="D137" s="5"/>
      <c r="E137" s="313"/>
      <c r="F137" s="45">
        <f t="shared" si="36"/>
        <v>0</v>
      </c>
      <c r="G137" s="303">
        <f t="shared" si="40"/>
        <v>0</v>
      </c>
      <c r="H137" s="114">
        <f t="shared" si="41"/>
        <v>0</v>
      </c>
      <c r="I137" s="114">
        <f t="shared" si="42"/>
        <v>0</v>
      </c>
      <c r="J137" s="114">
        <f t="shared" si="37"/>
        <v>0</v>
      </c>
      <c r="K137" s="114">
        <f t="shared" si="38"/>
        <v>0</v>
      </c>
      <c r="L137" s="114">
        <f t="shared" si="43"/>
        <v>0</v>
      </c>
      <c r="M137" s="114">
        <f>IFERROR(IF('Payroll 2020'!C137='Payroll 2020'!$A$3,IF('Income Statement 2020'!$E$22&gt;0,'Income Statement 2020'!$E$22*0.1*('Payroll 2020'!G137/SUMIF($C$128:$C$166,$A$3,$G$128:$G$166)),0),0),0)</f>
        <v>0</v>
      </c>
      <c r="N137" s="114">
        <f t="shared" si="44"/>
        <v>0</v>
      </c>
    </row>
    <row r="138" spans="1:14" outlineLevel="1" x14ac:dyDescent="0.25">
      <c r="A138" s="18"/>
      <c r="B138" s="63">
        <v>11</v>
      </c>
      <c r="E138" s="124"/>
      <c r="F138" s="45">
        <f t="shared" si="36"/>
        <v>0</v>
      </c>
      <c r="G138" s="114">
        <f t="shared" si="40"/>
        <v>0</v>
      </c>
      <c r="H138" s="114">
        <f t="shared" si="41"/>
        <v>0</v>
      </c>
      <c r="I138" s="114">
        <f t="shared" si="42"/>
        <v>0</v>
      </c>
      <c r="J138" s="114">
        <f t="shared" si="37"/>
        <v>0</v>
      </c>
      <c r="K138" s="114">
        <f t="shared" si="38"/>
        <v>0</v>
      </c>
      <c r="L138" s="114">
        <f t="shared" si="43"/>
        <v>0</v>
      </c>
      <c r="M138" s="114">
        <f>IFERROR(IF('Payroll 2020'!C138='Payroll 2020'!$A$3,IF('Income Statement 2020'!$E$22&gt;0,'Income Statement 2020'!$E$22*0.1*('Payroll 2020'!G138/SUMIF($C$128:$C$166,$A$3,$G$128:$G$166)),0),0),0)</f>
        <v>0</v>
      </c>
      <c r="N138" s="114">
        <f t="shared" si="44"/>
        <v>0</v>
      </c>
    </row>
    <row r="139" spans="1:14" outlineLevel="1" x14ac:dyDescent="0.25">
      <c r="A139" s="18"/>
      <c r="B139" s="63">
        <v>12</v>
      </c>
      <c r="E139" s="124"/>
      <c r="F139" s="45">
        <f t="shared" si="36"/>
        <v>0</v>
      </c>
      <c r="G139" s="114">
        <f t="shared" si="40"/>
        <v>0</v>
      </c>
      <c r="H139" s="114">
        <f t="shared" si="41"/>
        <v>0</v>
      </c>
      <c r="I139" s="114">
        <f t="shared" si="42"/>
        <v>0</v>
      </c>
      <c r="J139" s="114">
        <f t="shared" si="37"/>
        <v>0</v>
      </c>
      <c r="K139" s="114">
        <f t="shared" si="38"/>
        <v>0</v>
      </c>
      <c r="L139" s="114">
        <f t="shared" si="43"/>
        <v>0</v>
      </c>
      <c r="M139" s="114">
        <f>IFERROR(IF('Payroll 2020'!C139='Payroll 2020'!$A$3,IF('Income Statement 2020'!$E$22&gt;0,'Income Statement 2020'!$E$22*0.1*('Payroll 2020'!G139/SUMIF($C$128:$C$166,$A$3,$G$128:$G$166)),0),0),0)</f>
        <v>0</v>
      </c>
      <c r="N139" s="114">
        <f t="shared" si="44"/>
        <v>0</v>
      </c>
    </row>
    <row r="140" spans="1:14" outlineLevel="1" x14ac:dyDescent="0.25">
      <c r="A140" s="18"/>
      <c r="B140" s="63">
        <v>13</v>
      </c>
      <c r="E140" s="124"/>
      <c r="F140" s="45">
        <f t="shared" si="36"/>
        <v>0</v>
      </c>
      <c r="G140" s="114">
        <f t="shared" si="40"/>
        <v>0</v>
      </c>
      <c r="H140" s="114">
        <f t="shared" si="41"/>
        <v>0</v>
      </c>
      <c r="I140" s="114">
        <f t="shared" si="42"/>
        <v>0</v>
      </c>
      <c r="J140" s="114">
        <f t="shared" si="37"/>
        <v>0</v>
      </c>
      <c r="K140" s="114">
        <f t="shared" si="38"/>
        <v>0</v>
      </c>
      <c r="L140" s="114">
        <f t="shared" si="43"/>
        <v>0</v>
      </c>
      <c r="M140" s="114">
        <f>IFERROR(IF('Payroll 2020'!C140='Payroll 2020'!$A$3,IF('Income Statement 2020'!$E$22&gt;0,'Income Statement 2020'!$E$22*0.1*('Payroll 2020'!G140/SUMIF($C$128:$C$166,$A$3,$G$128:$G$166)),0),0),0)</f>
        <v>0</v>
      </c>
      <c r="N140" s="114">
        <f t="shared" si="44"/>
        <v>0</v>
      </c>
    </row>
    <row r="141" spans="1:14" outlineLevel="1" x14ac:dyDescent="0.25">
      <c r="A141" s="18"/>
      <c r="B141" s="63">
        <v>14</v>
      </c>
      <c r="E141" s="124"/>
      <c r="F141" s="45">
        <f t="shared" si="36"/>
        <v>0</v>
      </c>
      <c r="G141" s="114">
        <f t="shared" si="40"/>
        <v>0</v>
      </c>
      <c r="H141" s="114">
        <f t="shared" si="41"/>
        <v>0</v>
      </c>
      <c r="I141" s="114">
        <f t="shared" si="42"/>
        <v>0</v>
      </c>
      <c r="J141" s="114">
        <f t="shared" si="37"/>
        <v>0</v>
      </c>
      <c r="K141" s="114">
        <f t="shared" si="38"/>
        <v>0</v>
      </c>
      <c r="L141" s="114">
        <f t="shared" si="43"/>
        <v>0</v>
      </c>
      <c r="M141" s="114">
        <f>IFERROR(IF('Payroll 2020'!C141='Payroll 2020'!$A$3,IF('Income Statement 2020'!$E$22&gt;0,'Income Statement 2020'!$E$22*0.1*('Payroll 2020'!G141/SUMIF($C$128:$C$166,$A$3,$G$128:$G$166)),0),0),0)</f>
        <v>0</v>
      </c>
      <c r="N141" s="114">
        <f t="shared" si="44"/>
        <v>0</v>
      </c>
    </row>
    <row r="142" spans="1:14" outlineLevel="1" x14ac:dyDescent="0.25">
      <c r="A142" s="18"/>
      <c r="B142" s="63">
        <v>15</v>
      </c>
      <c r="E142" s="124"/>
      <c r="F142" s="45">
        <f t="shared" si="36"/>
        <v>0</v>
      </c>
      <c r="G142" s="114">
        <f t="shared" si="40"/>
        <v>0</v>
      </c>
      <c r="H142" s="114">
        <f t="shared" si="41"/>
        <v>0</v>
      </c>
      <c r="I142" s="114">
        <f t="shared" si="42"/>
        <v>0</v>
      </c>
      <c r="J142" s="114">
        <f t="shared" si="37"/>
        <v>0</v>
      </c>
      <c r="K142" s="114">
        <f t="shared" si="38"/>
        <v>0</v>
      </c>
      <c r="L142" s="114">
        <f t="shared" si="43"/>
        <v>0</v>
      </c>
      <c r="M142" s="114">
        <f>IFERROR(IF('Payroll 2020'!C142='Payroll 2020'!$A$3,IF('Income Statement 2020'!$E$22&gt;0,'Income Statement 2020'!$E$22*0.1*('Payroll 2020'!G142/SUMIF($C$128:$C$166,$A$3,$G$128:$G$166)),0),0),0)</f>
        <v>0</v>
      </c>
      <c r="N142" s="114">
        <f t="shared" si="44"/>
        <v>0</v>
      </c>
    </row>
    <row r="143" spans="1:14" outlineLevel="1" x14ac:dyDescent="0.25">
      <c r="A143" s="18"/>
      <c r="B143" s="63">
        <v>16</v>
      </c>
      <c r="E143" s="124"/>
      <c r="F143" s="45">
        <f t="shared" si="36"/>
        <v>0</v>
      </c>
      <c r="G143" s="114">
        <f t="shared" si="40"/>
        <v>0</v>
      </c>
      <c r="H143" s="114">
        <f t="shared" si="41"/>
        <v>0</v>
      </c>
      <c r="I143" s="114">
        <f t="shared" si="42"/>
        <v>0</v>
      </c>
      <c r="J143" s="114">
        <f t="shared" si="37"/>
        <v>0</v>
      </c>
      <c r="K143" s="114">
        <f t="shared" si="38"/>
        <v>0</v>
      </c>
      <c r="L143" s="114">
        <f t="shared" si="43"/>
        <v>0</v>
      </c>
      <c r="M143" s="114">
        <f>IFERROR(IF('Payroll 2020'!C143='Payroll 2020'!$A$3,IF('Income Statement 2020'!$E$22&gt;0,'Income Statement 2020'!$E$22*0.1*('Payroll 2020'!G143/SUMIF($C$128:$C$166,$A$3,$G$128:$G$166)),0),0),0)</f>
        <v>0</v>
      </c>
      <c r="N143" s="114">
        <f t="shared" si="44"/>
        <v>0</v>
      </c>
    </row>
    <row r="144" spans="1:14" outlineLevel="1" x14ac:dyDescent="0.25">
      <c r="A144" s="18"/>
      <c r="B144" s="63">
        <v>17</v>
      </c>
      <c r="E144" s="124"/>
      <c r="F144" s="45">
        <f t="shared" si="36"/>
        <v>0</v>
      </c>
      <c r="G144" s="114">
        <f t="shared" si="40"/>
        <v>0</v>
      </c>
      <c r="H144" s="114">
        <f t="shared" si="41"/>
        <v>0</v>
      </c>
      <c r="I144" s="114">
        <f t="shared" si="42"/>
        <v>0</v>
      </c>
      <c r="J144" s="114">
        <f t="shared" si="37"/>
        <v>0</v>
      </c>
      <c r="K144" s="114">
        <f t="shared" si="38"/>
        <v>0</v>
      </c>
      <c r="L144" s="114">
        <f t="shared" si="43"/>
        <v>0</v>
      </c>
      <c r="M144" s="114">
        <f>IFERROR(IF('Payroll 2020'!C144='Payroll 2020'!$A$3,IF('Income Statement 2020'!$E$22&gt;0,'Income Statement 2020'!$E$22*0.1*('Payroll 2020'!G144/SUMIF($C$128:$C$166,$A$3,$G$128:$G$166)),0),0),0)</f>
        <v>0</v>
      </c>
      <c r="N144" s="114">
        <f t="shared" si="44"/>
        <v>0</v>
      </c>
    </row>
    <row r="145" spans="1:14" outlineLevel="1" x14ac:dyDescent="0.25">
      <c r="A145" s="18"/>
      <c r="B145" s="63">
        <v>18</v>
      </c>
      <c r="E145" s="124"/>
      <c r="F145" s="45">
        <f t="shared" si="36"/>
        <v>0</v>
      </c>
      <c r="G145" s="114">
        <f t="shared" si="40"/>
        <v>0</v>
      </c>
      <c r="H145" s="114">
        <f t="shared" si="41"/>
        <v>0</v>
      </c>
      <c r="I145" s="114">
        <f t="shared" si="42"/>
        <v>0</v>
      </c>
      <c r="J145" s="114">
        <f t="shared" si="37"/>
        <v>0</v>
      </c>
      <c r="K145" s="114">
        <f t="shared" si="38"/>
        <v>0</v>
      </c>
      <c r="L145" s="114">
        <f t="shared" si="43"/>
        <v>0</v>
      </c>
      <c r="M145" s="114">
        <f>IFERROR(IF('Payroll 2020'!C145='Payroll 2020'!$A$3,IF('Income Statement 2020'!$E$22&gt;0,'Income Statement 2020'!$E$22*0.1*('Payroll 2020'!G145/SUMIF($C$128:$C$166,$A$3,$G$128:$G$166)),0),0),0)</f>
        <v>0</v>
      </c>
      <c r="N145" s="114">
        <f t="shared" si="44"/>
        <v>0</v>
      </c>
    </row>
    <row r="146" spans="1:14" outlineLevel="1" x14ac:dyDescent="0.25">
      <c r="A146" s="18"/>
      <c r="B146" s="63">
        <v>19</v>
      </c>
      <c r="E146" s="124"/>
      <c r="F146" s="45">
        <f t="shared" si="36"/>
        <v>0</v>
      </c>
      <c r="G146" s="114">
        <f t="shared" si="40"/>
        <v>0</v>
      </c>
      <c r="H146" s="114">
        <f t="shared" si="41"/>
        <v>0</v>
      </c>
      <c r="I146" s="114">
        <f t="shared" si="42"/>
        <v>0</v>
      </c>
      <c r="J146" s="114">
        <f t="shared" si="37"/>
        <v>0</v>
      </c>
      <c r="K146" s="114">
        <f t="shared" si="38"/>
        <v>0</v>
      </c>
      <c r="L146" s="114">
        <f t="shared" si="43"/>
        <v>0</v>
      </c>
      <c r="M146" s="114">
        <f>IFERROR(IF('Payroll 2020'!C146='Payroll 2020'!$A$3,IF('Income Statement 2020'!$E$22&gt;0,'Income Statement 2020'!$E$22*0.1*('Payroll 2020'!G146/SUMIF($C$128:$C$166,$A$3,$G$128:$G$166)),0),0),0)</f>
        <v>0</v>
      </c>
      <c r="N146" s="114">
        <f t="shared" si="44"/>
        <v>0</v>
      </c>
    </row>
    <row r="147" spans="1:14" outlineLevel="1" x14ac:dyDescent="0.25">
      <c r="A147" s="18"/>
      <c r="B147" s="63">
        <v>20</v>
      </c>
      <c r="E147" s="124"/>
      <c r="F147" s="45">
        <f t="shared" si="36"/>
        <v>0</v>
      </c>
      <c r="G147" s="114">
        <f t="shared" si="40"/>
        <v>0</v>
      </c>
      <c r="H147" s="114">
        <f t="shared" si="41"/>
        <v>0</v>
      </c>
      <c r="I147" s="114">
        <f t="shared" si="42"/>
        <v>0</v>
      </c>
      <c r="J147" s="114">
        <f t="shared" si="37"/>
        <v>0</v>
      </c>
      <c r="K147" s="114">
        <f t="shared" si="38"/>
        <v>0</v>
      </c>
      <c r="L147" s="114">
        <f t="shared" si="43"/>
        <v>0</v>
      </c>
      <c r="M147" s="114">
        <f>IFERROR(IF('Payroll 2020'!C147='Payroll 2020'!$A$3,IF('Income Statement 2020'!$E$22&gt;0,'Income Statement 2020'!$E$22*0.1*('Payroll 2020'!G147/SUMIF($C$128:$C$166,$A$3,$G$128:$G$166)),0),0),0)</f>
        <v>0</v>
      </c>
      <c r="N147" s="114">
        <f t="shared" si="44"/>
        <v>0</v>
      </c>
    </row>
    <row r="148" spans="1:14" outlineLevel="1" x14ac:dyDescent="0.25">
      <c r="A148" s="18"/>
      <c r="B148" s="63">
        <v>21</v>
      </c>
      <c r="E148" s="124"/>
      <c r="F148" s="45">
        <f t="shared" si="36"/>
        <v>0</v>
      </c>
      <c r="G148" s="114">
        <f t="shared" si="40"/>
        <v>0</v>
      </c>
      <c r="H148" s="114">
        <f t="shared" si="41"/>
        <v>0</v>
      </c>
      <c r="I148" s="114">
        <f t="shared" si="42"/>
        <v>0</v>
      </c>
      <c r="J148" s="114">
        <f t="shared" si="37"/>
        <v>0</v>
      </c>
      <c r="K148" s="114">
        <f t="shared" si="38"/>
        <v>0</v>
      </c>
      <c r="L148" s="114">
        <f t="shared" si="43"/>
        <v>0</v>
      </c>
      <c r="M148" s="114">
        <f>IFERROR(IF('Payroll 2020'!C148='Payroll 2020'!$A$3,IF('Income Statement 2020'!$E$22&gt;0,'Income Statement 2020'!$E$22*0.1*('Payroll 2020'!G148/SUMIF($C$128:$C$166,$A$3,$G$128:$G$166)),0),0),0)</f>
        <v>0</v>
      </c>
      <c r="N148" s="114">
        <f t="shared" si="44"/>
        <v>0</v>
      </c>
    </row>
    <row r="149" spans="1:14" outlineLevel="1" x14ac:dyDescent="0.25">
      <c r="A149" s="18"/>
      <c r="B149" s="63">
        <v>22</v>
      </c>
      <c r="E149" s="124"/>
      <c r="F149" s="45">
        <f t="shared" si="36"/>
        <v>0</v>
      </c>
      <c r="G149" s="114">
        <f t="shared" si="40"/>
        <v>0</v>
      </c>
      <c r="H149" s="114">
        <f t="shared" si="41"/>
        <v>0</v>
      </c>
      <c r="I149" s="114">
        <f t="shared" si="42"/>
        <v>0</v>
      </c>
      <c r="J149" s="114">
        <f t="shared" si="37"/>
        <v>0</v>
      </c>
      <c r="K149" s="114">
        <f t="shared" si="38"/>
        <v>0</v>
      </c>
      <c r="L149" s="114">
        <f t="shared" si="43"/>
        <v>0</v>
      </c>
      <c r="M149" s="114">
        <f>IFERROR(IF('Payroll 2020'!C149='Payroll 2020'!$A$3,IF('Income Statement 2020'!$E$22&gt;0,'Income Statement 2020'!$E$22*0.1*('Payroll 2020'!G149/SUMIF($C$128:$C$166,$A$3,$G$128:$G$166)),0),0),0)</f>
        <v>0</v>
      </c>
      <c r="N149" s="114">
        <f t="shared" si="44"/>
        <v>0</v>
      </c>
    </row>
    <row r="150" spans="1:14" outlineLevel="1" x14ac:dyDescent="0.25">
      <c r="A150" s="18"/>
      <c r="B150" s="63">
        <v>23</v>
      </c>
      <c r="E150" s="124"/>
      <c r="F150" s="45">
        <f t="shared" si="36"/>
        <v>0</v>
      </c>
      <c r="G150" s="114">
        <f t="shared" si="40"/>
        <v>0</v>
      </c>
      <c r="H150" s="114">
        <f t="shared" si="41"/>
        <v>0</v>
      </c>
      <c r="I150" s="114">
        <f t="shared" si="42"/>
        <v>0</v>
      </c>
      <c r="J150" s="114">
        <f t="shared" si="37"/>
        <v>0</v>
      </c>
      <c r="K150" s="114">
        <f t="shared" si="38"/>
        <v>0</v>
      </c>
      <c r="L150" s="114">
        <f t="shared" si="43"/>
        <v>0</v>
      </c>
      <c r="M150" s="114">
        <f>IFERROR(IF('Payroll 2020'!C150='Payroll 2020'!$A$3,IF('Income Statement 2020'!$E$22&gt;0,'Income Statement 2020'!$E$22*0.1*('Payroll 2020'!G150/SUMIF($C$128:$C$166,$A$3,$G$128:$G$166)),0),0),0)</f>
        <v>0</v>
      </c>
      <c r="N150" s="114">
        <f t="shared" si="44"/>
        <v>0</v>
      </c>
    </row>
    <row r="151" spans="1:14" outlineLevel="1" x14ac:dyDescent="0.25">
      <c r="A151" s="18"/>
      <c r="B151" s="63">
        <v>24</v>
      </c>
      <c r="E151" s="124"/>
      <c r="F151" s="45">
        <f t="shared" si="36"/>
        <v>0</v>
      </c>
      <c r="G151" s="114">
        <f t="shared" si="40"/>
        <v>0</v>
      </c>
      <c r="H151" s="114">
        <f t="shared" si="41"/>
        <v>0</v>
      </c>
      <c r="I151" s="114">
        <f t="shared" si="42"/>
        <v>0</v>
      </c>
      <c r="J151" s="114">
        <f t="shared" si="37"/>
        <v>0</v>
      </c>
      <c r="K151" s="114">
        <f t="shared" si="38"/>
        <v>0</v>
      </c>
      <c r="L151" s="114">
        <f t="shared" si="43"/>
        <v>0</v>
      </c>
      <c r="M151" s="114">
        <f>IFERROR(IF('Payroll 2020'!C151='Payroll 2020'!$A$3,IF('Income Statement 2020'!$E$22&gt;0,'Income Statement 2020'!$E$22*0.1*('Payroll 2020'!G151/SUMIF($C$128:$C$166,$A$3,$G$128:$G$166)),0),0),0)</f>
        <v>0</v>
      </c>
      <c r="N151" s="114">
        <f t="shared" si="44"/>
        <v>0</v>
      </c>
    </row>
    <row r="152" spans="1:14" outlineLevel="1" x14ac:dyDescent="0.25">
      <c r="A152" s="18"/>
      <c r="B152" s="63">
        <v>25</v>
      </c>
      <c r="E152" s="124"/>
      <c r="F152" s="45">
        <f t="shared" si="36"/>
        <v>0</v>
      </c>
      <c r="G152" s="114">
        <f t="shared" si="40"/>
        <v>0</v>
      </c>
      <c r="H152" s="114">
        <f t="shared" si="41"/>
        <v>0</v>
      </c>
      <c r="I152" s="114">
        <f t="shared" si="42"/>
        <v>0</v>
      </c>
      <c r="J152" s="114">
        <f t="shared" si="37"/>
        <v>0</v>
      </c>
      <c r="K152" s="114">
        <f t="shared" si="38"/>
        <v>0</v>
      </c>
      <c r="L152" s="114">
        <f t="shared" si="43"/>
        <v>0</v>
      </c>
      <c r="M152" s="114">
        <f>IFERROR(IF('Payroll 2020'!C152='Payroll 2020'!$A$3,IF('Income Statement 2020'!$E$22&gt;0,'Income Statement 2020'!$E$22*0.1*('Payroll 2020'!G152/SUMIF($C$128:$C$166,$A$3,$G$128:$G$166)),0),0),0)</f>
        <v>0</v>
      </c>
      <c r="N152" s="114">
        <f t="shared" si="44"/>
        <v>0</v>
      </c>
    </row>
    <row r="153" spans="1:14" outlineLevel="1" x14ac:dyDescent="0.25">
      <c r="A153" s="18"/>
      <c r="B153" s="63">
        <v>26</v>
      </c>
      <c r="E153" s="124"/>
      <c r="F153" s="45">
        <f t="shared" si="36"/>
        <v>0</v>
      </c>
      <c r="G153" s="114">
        <f t="shared" si="40"/>
        <v>0</v>
      </c>
      <c r="H153" s="114">
        <f t="shared" si="41"/>
        <v>0</v>
      </c>
      <c r="I153" s="114">
        <f t="shared" si="42"/>
        <v>0</v>
      </c>
      <c r="J153" s="114">
        <f t="shared" si="37"/>
        <v>0</v>
      </c>
      <c r="K153" s="114">
        <f t="shared" si="38"/>
        <v>0</v>
      </c>
      <c r="L153" s="114">
        <f t="shared" si="43"/>
        <v>0</v>
      </c>
      <c r="M153" s="114">
        <f>IFERROR(IF('Payroll 2020'!C153='Payroll 2020'!$A$3,IF('Income Statement 2020'!$E$22&gt;0,'Income Statement 2020'!$E$22*0.1*('Payroll 2020'!G153/SUMIF($C$128:$C$166,$A$3,$G$128:$G$166)),0),0),0)</f>
        <v>0</v>
      </c>
      <c r="N153" s="114">
        <f t="shared" si="44"/>
        <v>0</v>
      </c>
    </row>
    <row r="154" spans="1:14" outlineLevel="1" x14ac:dyDescent="0.25">
      <c r="A154" s="18"/>
      <c r="B154" s="63">
        <v>27</v>
      </c>
      <c r="E154" s="124"/>
      <c r="F154" s="45">
        <f t="shared" si="36"/>
        <v>0</v>
      </c>
      <c r="G154" s="114">
        <f t="shared" si="40"/>
        <v>0</v>
      </c>
      <c r="H154" s="114">
        <f t="shared" si="41"/>
        <v>0</v>
      </c>
      <c r="I154" s="114">
        <f t="shared" si="42"/>
        <v>0</v>
      </c>
      <c r="J154" s="114">
        <f t="shared" si="37"/>
        <v>0</v>
      </c>
      <c r="K154" s="114">
        <f t="shared" si="38"/>
        <v>0</v>
      </c>
      <c r="L154" s="114">
        <f t="shared" si="43"/>
        <v>0</v>
      </c>
      <c r="M154" s="114">
        <f>IFERROR(IF('Payroll 2020'!C154='Payroll 2020'!$A$3,IF('Income Statement 2020'!$E$22&gt;0,'Income Statement 2020'!$E$22*0.1*('Payroll 2020'!G154/SUMIF($C$128:$C$166,$A$3,$G$128:$G$166)),0),0),0)</f>
        <v>0</v>
      </c>
      <c r="N154" s="114">
        <f t="shared" si="44"/>
        <v>0</v>
      </c>
    </row>
    <row r="155" spans="1:14" outlineLevel="1" x14ac:dyDescent="0.25">
      <c r="A155" s="18"/>
      <c r="B155" s="63">
        <v>28</v>
      </c>
      <c r="E155" s="124"/>
      <c r="F155" s="45">
        <f t="shared" si="36"/>
        <v>0</v>
      </c>
      <c r="G155" s="114">
        <f t="shared" si="40"/>
        <v>0</v>
      </c>
      <c r="H155" s="114">
        <f t="shared" si="41"/>
        <v>0</v>
      </c>
      <c r="I155" s="114">
        <f t="shared" si="42"/>
        <v>0</v>
      </c>
      <c r="J155" s="114">
        <f t="shared" si="37"/>
        <v>0</v>
      </c>
      <c r="K155" s="114">
        <f t="shared" si="38"/>
        <v>0</v>
      </c>
      <c r="L155" s="114">
        <f t="shared" si="43"/>
        <v>0</v>
      </c>
      <c r="M155" s="114">
        <f>IFERROR(IF('Payroll 2020'!C155='Payroll 2020'!$A$3,IF('Income Statement 2020'!$E$22&gt;0,'Income Statement 2020'!$E$22*0.1*('Payroll 2020'!G155/SUMIF($C$128:$C$166,$A$3,$G$128:$G$166)),0),0),0)</f>
        <v>0</v>
      </c>
      <c r="N155" s="114">
        <f t="shared" si="44"/>
        <v>0</v>
      </c>
    </row>
    <row r="156" spans="1:14" outlineLevel="1" x14ac:dyDescent="0.25">
      <c r="A156" s="18"/>
      <c r="B156" s="63">
        <v>29</v>
      </c>
      <c r="E156" s="124"/>
      <c r="F156" s="45">
        <f t="shared" si="36"/>
        <v>0</v>
      </c>
      <c r="G156" s="114">
        <f t="shared" si="40"/>
        <v>0</v>
      </c>
      <c r="H156" s="114">
        <f t="shared" si="41"/>
        <v>0</v>
      </c>
      <c r="I156" s="114">
        <f t="shared" si="42"/>
        <v>0</v>
      </c>
      <c r="J156" s="114">
        <f t="shared" si="37"/>
        <v>0</v>
      </c>
      <c r="K156" s="114">
        <f t="shared" si="38"/>
        <v>0</v>
      </c>
      <c r="L156" s="114">
        <f t="shared" si="43"/>
        <v>0</v>
      </c>
      <c r="M156" s="114">
        <f>IFERROR(IF('Payroll 2020'!C156='Payroll 2020'!$A$3,IF('Income Statement 2020'!$E$22&gt;0,'Income Statement 2020'!$E$22*0.1*('Payroll 2020'!G156/SUMIF($C$128:$C$166,$A$3,$G$128:$G$166)),0),0),0)</f>
        <v>0</v>
      </c>
      <c r="N156" s="114">
        <f t="shared" si="44"/>
        <v>0</v>
      </c>
    </row>
    <row r="157" spans="1:14" outlineLevel="1" x14ac:dyDescent="0.25">
      <c r="A157" s="18"/>
      <c r="B157" s="63">
        <v>30</v>
      </c>
      <c r="E157" s="124"/>
      <c r="F157" s="45">
        <f t="shared" si="36"/>
        <v>0</v>
      </c>
      <c r="G157" s="114">
        <f t="shared" si="40"/>
        <v>0</v>
      </c>
      <c r="H157" s="114">
        <f t="shared" si="41"/>
        <v>0</v>
      </c>
      <c r="I157" s="114">
        <f t="shared" si="42"/>
        <v>0</v>
      </c>
      <c r="J157" s="114">
        <f t="shared" si="37"/>
        <v>0</v>
      </c>
      <c r="K157" s="114">
        <f t="shared" si="38"/>
        <v>0</v>
      </c>
      <c r="L157" s="114">
        <f t="shared" si="43"/>
        <v>0</v>
      </c>
      <c r="M157" s="114">
        <f>IFERROR(IF('Payroll 2020'!C157='Payroll 2020'!$A$3,IF('Income Statement 2020'!$E$22&gt;0,'Income Statement 2020'!$E$22*0.1*('Payroll 2020'!G157/SUMIF($C$128:$C$166,$A$3,$G$128:$G$166)),0),0),0)</f>
        <v>0</v>
      </c>
      <c r="N157" s="114">
        <f t="shared" si="44"/>
        <v>0</v>
      </c>
    </row>
    <row r="158" spans="1:14" outlineLevel="1" x14ac:dyDescent="0.25">
      <c r="A158" s="18"/>
      <c r="B158" s="63">
        <v>31</v>
      </c>
      <c r="E158" s="124"/>
      <c r="F158" s="45">
        <f t="shared" si="36"/>
        <v>0</v>
      </c>
      <c r="G158" s="114">
        <f t="shared" si="40"/>
        <v>0</v>
      </c>
      <c r="H158" s="114">
        <f t="shared" si="41"/>
        <v>0</v>
      </c>
      <c r="I158" s="114">
        <f t="shared" si="42"/>
        <v>0</v>
      </c>
      <c r="J158" s="114">
        <f t="shared" si="37"/>
        <v>0</v>
      </c>
      <c r="K158" s="114">
        <f t="shared" si="38"/>
        <v>0</v>
      </c>
      <c r="L158" s="114">
        <f t="shared" si="43"/>
        <v>0</v>
      </c>
      <c r="M158" s="114">
        <f>IFERROR(IF('Payroll 2020'!C158='Payroll 2020'!$A$3,IF('Income Statement 2020'!$E$22&gt;0,'Income Statement 2020'!$E$22*0.1*('Payroll 2020'!G158/SUMIF($C$128:$C$166,$A$3,$G$128:$G$166)),0),0),0)</f>
        <v>0</v>
      </c>
      <c r="N158" s="114">
        <f t="shared" si="44"/>
        <v>0</v>
      </c>
    </row>
    <row r="159" spans="1:14" outlineLevel="1" x14ac:dyDescent="0.25">
      <c r="A159" s="18"/>
      <c r="B159" s="63">
        <v>32</v>
      </c>
      <c r="E159" s="124"/>
      <c r="F159" s="45">
        <f t="shared" si="36"/>
        <v>0</v>
      </c>
      <c r="G159" s="114">
        <f t="shared" si="40"/>
        <v>0</v>
      </c>
      <c r="H159" s="114">
        <f t="shared" si="41"/>
        <v>0</v>
      </c>
      <c r="I159" s="114">
        <f t="shared" si="42"/>
        <v>0</v>
      </c>
      <c r="J159" s="114">
        <f t="shared" si="37"/>
        <v>0</v>
      </c>
      <c r="K159" s="114">
        <f t="shared" si="38"/>
        <v>0</v>
      </c>
      <c r="L159" s="114">
        <f t="shared" si="43"/>
        <v>0</v>
      </c>
      <c r="M159" s="114">
        <f>IFERROR(IF('Payroll 2020'!C159='Payroll 2020'!$A$3,IF('Income Statement 2020'!$E$22&gt;0,'Income Statement 2020'!$E$22*0.1*('Payroll 2020'!G159/SUMIF($C$128:$C$166,$A$3,$G$128:$G$166)),0),0),0)</f>
        <v>0</v>
      </c>
      <c r="N159" s="114">
        <f t="shared" si="44"/>
        <v>0</v>
      </c>
    </row>
    <row r="160" spans="1:14" outlineLevel="1" x14ac:dyDescent="0.25">
      <c r="A160" s="18"/>
      <c r="B160" s="63">
        <v>33</v>
      </c>
      <c r="E160" s="124"/>
      <c r="F160" s="45">
        <f t="shared" si="36"/>
        <v>0</v>
      </c>
      <c r="G160" s="114">
        <f t="shared" si="40"/>
        <v>0</v>
      </c>
      <c r="H160" s="114">
        <f t="shared" si="41"/>
        <v>0</v>
      </c>
      <c r="I160" s="114">
        <f t="shared" si="42"/>
        <v>0</v>
      </c>
      <c r="J160" s="114">
        <f t="shared" si="37"/>
        <v>0</v>
      </c>
      <c r="K160" s="114">
        <f t="shared" si="38"/>
        <v>0</v>
      </c>
      <c r="L160" s="114">
        <f t="shared" si="43"/>
        <v>0</v>
      </c>
      <c r="M160" s="114">
        <f>IFERROR(IF('Payroll 2020'!C160='Payroll 2020'!$A$3,IF('Income Statement 2020'!$E$22&gt;0,'Income Statement 2020'!$E$22*0.1*('Payroll 2020'!G160/SUMIF($C$128:$C$166,$A$3,$G$128:$G$166)),0),0),0)</f>
        <v>0</v>
      </c>
      <c r="N160" s="114">
        <f t="shared" si="44"/>
        <v>0</v>
      </c>
    </row>
    <row r="161" spans="1:14" outlineLevel="1" x14ac:dyDescent="0.25">
      <c r="A161" s="18"/>
      <c r="B161" s="63">
        <v>34</v>
      </c>
      <c r="E161" s="124"/>
      <c r="F161" s="45">
        <f t="shared" si="36"/>
        <v>0</v>
      </c>
      <c r="G161" s="114">
        <f t="shared" si="40"/>
        <v>0</v>
      </c>
      <c r="H161" s="114">
        <f t="shared" si="41"/>
        <v>0</v>
      </c>
      <c r="I161" s="114">
        <f t="shared" si="42"/>
        <v>0</v>
      </c>
      <c r="J161" s="114">
        <f t="shared" si="37"/>
        <v>0</v>
      </c>
      <c r="K161" s="114">
        <f t="shared" si="38"/>
        <v>0</v>
      </c>
      <c r="L161" s="114">
        <f t="shared" si="43"/>
        <v>0</v>
      </c>
      <c r="M161" s="114">
        <f>IFERROR(IF('Payroll 2020'!C161='Payroll 2020'!$A$3,IF('Income Statement 2020'!$E$22&gt;0,'Income Statement 2020'!$E$22*0.1*('Payroll 2020'!G161/SUMIF($C$128:$C$166,$A$3,$G$128:$G$166)),0),0),0)</f>
        <v>0</v>
      </c>
      <c r="N161" s="114">
        <f t="shared" si="44"/>
        <v>0</v>
      </c>
    </row>
    <row r="162" spans="1:14" outlineLevel="1" x14ac:dyDescent="0.25">
      <c r="A162" s="18"/>
      <c r="B162" s="63">
        <v>35</v>
      </c>
      <c r="E162" s="124"/>
      <c r="F162" s="45">
        <f t="shared" si="36"/>
        <v>0</v>
      </c>
      <c r="G162" s="114">
        <f t="shared" si="40"/>
        <v>0</v>
      </c>
      <c r="H162" s="114">
        <f t="shared" si="41"/>
        <v>0</v>
      </c>
      <c r="I162" s="114">
        <f t="shared" si="42"/>
        <v>0</v>
      </c>
      <c r="J162" s="114">
        <f t="shared" si="37"/>
        <v>0</v>
      </c>
      <c r="K162" s="114">
        <f t="shared" si="38"/>
        <v>0</v>
      </c>
      <c r="L162" s="114">
        <f t="shared" si="43"/>
        <v>0</v>
      </c>
      <c r="M162" s="114">
        <f>IFERROR(IF('Payroll 2020'!C162='Payroll 2020'!$A$3,IF('Income Statement 2020'!$E$22&gt;0,'Income Statement 2020'!$E$22*0.1*('Payroll 2020'!G162/SUMIF($C$128:$C$166,$A$3,$G$128:$G$166)),0),0),0)</f>
        <v>0</v>
      </c>
      <c r="N162" s="114">
        <f t="shared" si="44"/>
        <v>0</v>
      </c>
    </row>
    <row r="163" spans="1:14" outlineLevel="1" x14ac:dyDescent="0.25">
      <c r="A163" s="18"/>
      <c r="B163" s="63">
        <v>36</v>
      </c>
      <c r="E163" s="124"/>
      <c r="F163" s="45">
        <f t="shared" si="36"/>
        <v>0</v>
      </c>
      <c r="G163" s="114">
        <f t="shared" si="40"/>
        <v>0</v>
      </c>
      <c r="H163" s="114">
        <f t="shared" si="41"/>
        <v>0</v>
      </c>
      <c r="I163" s="114">
        <f t="shared" si="42"/>
        <v>0</v>
      </c>
      <c r="J163" s="114">
        <f t="shared" si="37"/>
        <v>0</v>
      </c>
      <c r="K163" s="114">
        <f t="shared" si="38"/>
        <v>0</v>
      </c>
      <c r="L163" s="114">
        <f t="shared" si="43"/>
        <v>0</v>
      </c>
      <c r="M163" s="114">
        <f>IFERROR(IF('Payroll 2020'!C163='Payroll 2020'!$A$3,IF('Income Statement 2020'!$E$22&gt;0,'Income Statement 2020'!$E$22*0.1*('Payroll 2020'!G163/SUMIF($C$128:$C$166,$A$3,$G$128:$G$166)),0),0),0)</f>
        <v>0</v>
      </c>
      <c r="N163" s="114">
        <f t="shared" si="44"/>
        <v>0</v>
      </c>
    </row>
    <row r="164" spans="1:14" outlineLevel="1" x14ac:dyDescent="0.25">
      <c r="A164" s="18"/>
      <c r="B164" s="63">
        <v>37</v>
      </c>
      <c r="E164" s="124"/>
      <c r="F164" s="45">
        <f t="shared" si="36"/>
        <v>0</v>
      </c>
      <c r="G164" s="114">
        <f t="shared" si="40"/>
        <v>0</v>
      </c>
      <c r="H164" s="114">
        <f t="shared" si="41"/>
        <v>0</v>
      </c>
      <c r="I164" s="114">
        <f t="shared" si="42"/>
        <v>0</v>
      </c>
      <c r="J164" s="114">
        <f t="shared" si="37"/>
        <v>0</v>
      </c>
      <c r="K164" s="114">
        <f t="shared" si="38"/>
        <v>0</v>
      </c>
      <c r="L164" s="114">
        <f t="shared" si="43"/>
        <v>0</v>
      </c>
      <c r="M164" s="114">
        <f>IFERROR(IF('Payroll 2020'!C164='Payroll 2020'!$A$3,IF('Income Statement 2020'!$E$22&gt;0,'Income Statement 2020'!$E$22*0.1*('Payroll 2020'!G164/SUMIF($C$128:$C$166,$A$3,$G$128:$G$166)),0),0),0)</f>
        <v>0</v>
      </c>
      <c r="N164" s="114">
        <f t="shared" si="44"/>
        <v>0</v>
      </c>
    </row>
    <row r="165" spans="1:14" outlineLevel="1" x14ac:dyDescent="0.25">
      <c r="A165" s="18"/>
      <c r="B165" s="63">
        <v>38</v>
      </c>
      <c r="E165" s="124"/>
      <c r="F165" s="45">
        <f t="shared" si="36"/>
        <v>0</v>
      </c>
      <c r="G165" s="114">
        <f t="shared" si="40"/>
        <v>0</v>
      </c>
      <c r="H165" s="114">
        <f t="shared" si="41"/>
        <v>0</v>
      </c>
      <c r="I165" s="114">
        <f t="shared" si="42"/>
        <v>0</v>
      </c>
      <c r="J165" s="114">
        <f t="shared" si="37"/>
        <v>0</v>
      </c>
      <c r="K165" s="114">
        <f t="shared" si="38"/>
        <v>0</v>
      </c>
      <c r="L165" s="114">
        <f t="shared" si="43"/>
        <v>0</v>
      </c>
      <c r="M165" s="114">
        <f>IFERROR(IF('Payroll 2020'!C165='Payroll 2020'!$A$3,IF('Income Statement 2020'!$E$22&gt;0,'Income Statement 2020'!$E$22*0.1*('Payroll 2020'!G165/SUMIF($C$128:$C$166,$A$3,$G$128:$G$166)),0),0),0)</f>
        <v>0</v>
      </c>
      <c r="N165" s="114">
        <f t="shared" si="44"/>
        <v>0</v>
      </c>
    </row>
    <row r="166" spans="1:14" ht="17" outlineLevel="1" thickBot="1" x14ac:dyDescent="0.3">
      <c r="A166" s="19"/>
      <c r="B166" s="126">
        <v>39</v>
      </c>
      <c r="C166" s="16"/>
      <c r="D166" s="16"/>
      <c r="E166" s="310"/>
      <c r="F166" s="45">
        <f t="shared" si="36"/>
        <v>0</v>
      </c>
      <c r="G166" s="305">
        <f t="shared" si="40"/>
        <v>0</v>
      </c>
      <c r="H166" s="305">
        <f t="shared" si="41"/>
        <v>0</v>
      </c>
      <c r="I166" s="305">
        <f t="shared" si="42"/>
        <v>0</v>
      </c>
      <c r="J166" s="305">
        <f t="shared" si="37"/>
        <v>0</v>
      </c>
      <c r="K166" s="305">
        <f t="shared" si="38"/>
        <v>0</v>
      </c>
      <c r="L166" s="305">
        <f t="shared" si="43"/>
        <v>0</v>
      </c>
      <c r="M166" s="305">
        <f>IFERROR(IF('Payroll 2020'!C166='Payroll 2020'!$A$3,IF('Income Statement 2020'!$E$22&gt;0,'Income Statement 2020'!$E$22*0.1*('Payroll 2020'!G166/SUMIF($C$128:$C$166,$A$3,$G$128:$G$166)),0),0),0)</f>
        <v>0</v>
      </c>
      <c r="N166" s="305">
        <f t="shared" si="44"/>
        <v>0</v>
      </c>
    </row>
    <row r="167" spans="1:14" outlineLevel="1" x14ac:dyDescent="0.25">
      <c r="A167" s="2" t="s">
        <v>19</v>
      </c>
      <c r="B167" s="2"/>
      <c r="C167" s="2"/>
      <c r="D167" s="2"/>
      <c r="E167" s="313">
        <f>AVERAGE(E128:E166)</f>
        <v>33.375</v>
      </c>
      <c r="F167" s="99">
        <f>IFERROR(SUM(F128:F166),0)</f>
        <v>1408</v>
      </c>
      <c r="G167" s="303">
        <f t="shared" ref="G167:N167" si="45">IFERROR(SUM(G128:G166),0)</f>
        <v>46992</v>
      </c>
      <c r="H167" s="224">
        <f t="shared" si="45"/>
        <v>3759.3600000000015</v>
      </c>
      <c r="I167" s="224">
        <f t="shared" si="45"/>
        <v>2255.6160000000004</v>
      </c>
      <c r="J167" s="224">
        <f t="shared" si="45"/>
        <v>3759.3600000000015</v>
      </c>
      <c r="K167" s="224">
        <f t="shared" si="45"/>
        <v>0</v>
      </c>
      <c r="L167" s="224">
        <f t="shared" si="45"/>
        <v>37217.664000000004</v>
      </c>
      <c r="M167" s="224">
        <f t="shared" si="45"/>
        <v>0</v>
      </c>
      <c r="N167" s="224">
        <f t="shared" si="45"/>
        <v>37217.664000000004</v>
      </c>
    </row>
    <row r="168" spans="1:14" outlineLevel="1" x14ac:dyDescent="0.25"/>
    <row r="170" spans="1:14" x14ac:dyDescent="0.25">
      <c r="A170" s="2" t="s">
        <v>24</v>
      </c>
      <c r="B170" s="1" t="s">
        <v>17</v>
      </c>
      <c r="C170" s="20">
        <v>43922</v>
      </c>
      <c r="D170" s="1" t="s">
        <v>18</v>
      </c>
      <c r="E170" s="20">
        <v>43951</v>
      </c>
      <c r="F170" s="1" t="s">
        <v>42</v>
      </c>
      <c r="G170" s="1">
        <f>NETWORKDAYS(C170,E170)</f>
        <v>22</v>
      </c>
    </row>
    <row r="171" spans="1:14" ht="68" customHeight="1" outlineLevel="1" x14ac:dyDescent="0.25">
      <c r="A171" s="11" t="s">
        <v>2</v>
      </c>
      <c r="B171" s="10" t="s">
        <v>12</v>
      </c>
      <c r="C171" s="10" t="s">
        <v>1</v>
      </c>
      <c r="D171" s="10" t="s">
        <v>483</v>
      </c>
      <c r="E171" s="10" t="s">
        <v>13</v>
      </c>
      <c r="F171" s="10" t="s">
        <v>15</v>
      </c>
      <c r="G171" s="10" t="str">
        <f>G126</f>
        <v>Monthly Wage including all charges</v>
      </c>
      <c r="H171" s="10" t="str">
        <f t="shared" ref="H171:J171" si="46">H126</f>
        <v>URSSAF</v>
      </c>
      <c r="I171" s="10" t="str">
        <f t="shared" si="46"/>
        <v>Impot à la source</v>
      </c>
      <c r="J171" s="10" t="str">
        <f t="shared" si="46"/>
        <v>Employee Pension</v>
      </c>
      <c r="K171" s="10"/>
      <c r="L171" s="10" t="s">
        <v>14</v>
      </c>
      <c r="M171" s="10" t="s">
        <v>11</v>
      </c>
      <c r="N171" s="10" t="s">
        <v>20</v>
      </c>
    </row>
    <row r="172" spans="1:14" ht="17" outlineLevel="1" thickBot="1" x14ac:dyDescent="0.3">
      <c r="A172" s="12"/>
      <c r="B172" s="13"/>
      <c r="C172" s="13"/>
      <c r="D172" s="13"/>
      <c r="E172" s="13"/>
      <c r="F172" s="13"/>
      <c r="G172" s="314">
        <f>H172+I172+J172</f>
        <v>0.20800000000000002</v>
      </c>
      <c r="H172" s="315">
        <f>H127</f>
        <v>8.0000000000000016E-2</v>
      </c>
      <c r="I172" s="315">
        <f t="shared" ref="I172:J172" si="47">I127</f>
        <v>4.8000000000000001E-2</v>
      </c>
      <c r="J172" s="315">
        <f t="shared" si="47"/>
        <v>8.0000000000000016E-2</v>
      </c>
      <c r="K172" s="14"/>
      <c r="L172" s="15"/>
      <c r="M172" s="14">
        <f>'Payroll 2020-2024'!$L$12</f>
        <v>0.1</v>
      </c>
      <c r="N172" s="15"/>
    </row>
    <row r="173" spans="1:14" outlineLevel="1" x14ac:dyDescent="0.25">
      <c r="A173" s="104" t="s">
        <v>178</v>
      </c>
      <c r="B173" s="63">
        <v>1</v>
      </c>
      <c r="C173" s="105" t="s">
        <v>3</v>
      </c>
      <c r="D173" s="5" t="s">
        <v>484</v>
      </c>
      <c r="E173" s="308">
        <f>E128</f>
        <v>48</v>
      </c>
      <c r="F173" s="45">
        <f t="shared" ref="F173:F211" si="48">IF(C173=$A$3,$C$3*NETWORKDAYS($C$170,$E$170),0)</f>
        <v>176</v>
      </c>
      <c r="G173" s="303">
        <f>IFERROR(E173*F173,0)</f>
        <v>8448</v>
      </c>
      <c r="H173" s="114">
        <f>IFERROR(G173*$H$37,0)</f>
        <v>675.84000000000015</v>
      </c>
      <c r="I173" s="114">
        <f>IFERROR(G173*$I$37,0)</f>
        <v>405.50400000000002</v>
      </c>
      <c r="J173" s="114">
        <f t="shared" ref="J173:J211" si="49">IF(C173=$A$3,G173*$J$37,0)</f>
        <v>675.84000000000015</v>
      </c>
      <c r="K173" s="114">
        <f t="shared" ref="K173:K211" si="50">IF(C173=$A$3,G173*$K$37,0)</f>
        <v>0</v>
      </c>
      <c r="L173" s="224">
        <f>IFERROR(G173-SUM(H173:K173),0)</f>
        <v>6690.8159999999998</v>
      </c>
      <c r="M173" s="114">
        <f>IFERROR(IF('Payroll 2020'!C173='Payroll 2020'!$A$3,IF('Income Statement 2020'!$F$22&gt;0,'Income Statement 2020'!$F$22*0.1*('Payroll 2020'!G173/SUMIF($C$173:$C$211,$A$3,$G$173:$G$211)),0),0),0)</f>
        <v>0</v>
      </c>
      <c r="N173" s="224">
        <f>IFERROR(L173+M173,0)</f>
        <v>6690.8159999999998</v>
      </c>
    </row>
    <row r="174" spans="1:14" outlineLevel="1" x14ac:dyDescent="0.25">
      <c r="A174" s="104" t="s">
        <v>179</v>
      </c>
      <c r="B174" s="63">
        <v>2</v>
      </c>
      <c r="C174" s="105" t="s">
        <v>3</v>
      </c>
      <c r="D174" s="5" t="s">
        <v>484</v>
      </c>
      <c r="E174" s="308">
        <f t="shared" ref="E174:E180" si="51">E129</f>
        <v>45</v>
      </c>
      <c r="F174" s="45">
        <f t="shared" si="48"/>
        <v>176</v>
      </c>
      <c r="G174" s="303">
        <f t="shared" ref="G174:G211" si="52">IFERROR(E174*F174,0)</f>
        <v>7920</v>
      </c>
      <c r="H174" s="114">
        <f t="shared" ref="H174:H211" si="53">IFERROR(G174*$H$37,0)</f>
        <v>633.60000000000014</v>
      </c>
      <c r="I174" s="114">
        <f t="shared" ref="I174:I211" si="54">IFERROR(G174*$I$37,0)</f>
        <v>380.16</v>
      </c>
      <c r="J174" s="114">
        <f t="shared" si="49"/>
        <v>633.60000000000014</v>
      </c>
      <c r="K174" s="114">
        <f t="shared" si="50"/>
        <v>0</v>
      </c>
      <c r="L174" s="224">
        <f t="shared" ref="L174:L211" si="55">IFERROR(G174-SUM(H174:K174),0)</f>
        <v>6272.6399999999994</v>
      </c>
      <c r="M174" s="114">
        <f>IFERROR(IF('Payroll 2020'!C174='Payroll 2020'!$A$3,IF('Income Statement 2020'!$F$22&gt;0,'Income Statement 2020'!$F$22*0.1*('Payroll 2020'!G174/SUMIF($C$173:$C$211,$A$3,$G$173:$G$211)),0),0),0)</f>
        <v>0</v>
      </c>
      <c r="N174" s="224">
        <f t="shared" ref="N174:N211" si="56">IFERROR(L174+M174,0)</f>
        <v>6272.6399999999994</v>
      </c>
    </row>
    <row r="175" spans="1:14" outlineLevel="1" x14ac:dyDescent="0.25">
      <c r="A175" s="104" t="s">
        <v>180</v>
      </c>
      <c r="B175" s="63">
        <v>3</v>
      </c>
      <c r="C175" s="105" t="s">
        <v>3</v>
      </c>
      <c r="D175" s="5" t="s">
        <v>484</v>
      </c>
      <c r="E175" s="308">
        <f t="shared" si="51"/>
        <v>37</v>
      </c>
      <c r="F175" s="45">
        <f t="shared" si="48"/>
        <v>176</v>
      </c>
      <c r="G175" s="303">
        <f t="shared" si="52"/>
        <v>6512</v>
      </c>
      <c r="H175" s="114">
        <f t="shared" si="53"/>
        <v>520.96000000000015</v>
      </c>
      <c r="I175" s="114">
        <f t="shared" si="54"/>
        <v>312.57600000000002</v>
      </c>
      <c r="J175" s="114">
        <f t="shared" si="49"/>
        <v>520.96000000000015</v>
      </c>
      <c r="K175" s="114">
        <f t="shared" si="50"/>
        <v>0</v>
      </c>
      <c r="L175" s="224">
        <f t="shared" si="55"/>
        <v>5157.5039999999999</v>
      </c>
      <c r="M175" s="114">
        <f>IFERROR(IF('Payroll 2020'!C175='Payroll 2020'!$A$3,IF('Income Statement 2020'!$F$22&gt;0,'Income Statement 2020'!$F$22*0.1*('Payroll 2020'!G175/SUMIF($C$173:$C$211,$A$3,$G$173:$G$211)),0),0),0)</f>
        <v>0</v>
      </c>
      <c r="N175" s="224">
        <f t="shared" si="56"/>
        <v>5157.5039999999999</v>
      </c>
    </row>
    <row r="176" spans="1:14" outlineLevel="1" x14ac:dyDescent="0.25">
      <c r="A176" s="104" t="s">
        <v>181</v>
      </c>
      <c r="B176" s="63">
        <v>4</v>
      </c>
      <c r="C176" s="105" t="s">
        <v>3</v>
      </c>
      <c r="D176" s="5" t="s">
        <v>485</v>
      </c>
      <c r="E176" s="308">
        <f t="shared" si="51"/>
        <v>23</v>
      </c>
      <c r="F176" s="45">
        <f t="shared" si="48"/>
        <v>176</v>
      </c>
      <c r="G176" s="303">
        <f t="shared" si="52"/>
        <v>4048</v>
      </c>
      <c r="H176" s="114">
        <f t="shared" si="53"/>
        <v>323.84000000000009</v>
      </c>
      <c r="I176" s="114">
        <f t="shared" si="54"/>
        <v>194.304</v>
      </c>
      <c r="J176" s="114">
        <f t="shared" si="49"/>
        <v>323.84000000000009</v>
      </c>
      <c r="K176" s="114">
        <f t="shared" si="50"/>
        <v>0</v>
      </c>
      <c r="L176" s="224">
        <f t="shared" si="55"/>
        <v>3206.0159999999996</v>
      </c>
      <c r="M176" s="114">
        <f>IFERROR(IF('Payroll 2020'!C176='Payroll 2020'!$A$3,IF('Income Statement 2020'!$F$22&gt;0,'Income Statement 2020'!$F$22*0.1*('Payroll 2020'!G176/SUMIF($C$173:$C$211,$A$3,$G$173:$G$211)),0),0),0)</f>
        <v>0</v>
      </c>
      <c r="N176" s="224">
        <f t="shared" si="56"/>
        <v>3206.0159999999996</v>
      </c>
    </row>
    <row r="177" spans="1:14" outlineLevel="1" x14ac:dyDescent="0.25">
      <c r="A177" s="104" t="s">
        <v>182</v>
      </c>
      <c r="B177" s="63">
        <v>5</v>
      </c>
      <c r="C177" s="105" t="s">
        <v>3</v>
      </c>
      <c r="D177" s="5" t="s">
        <v>486</v>
      </c>
      <c r="E177" s="308">
        <f t="shared" si="51"/>
        <v>40</v>
      </c>
      <c r="F177" s="45">
        <f t="shared" si="48"/>
        <v>176</v>
      </c>
      <c r="G177" s="303">
        <f t="shared" si="52"/>
        <v>7040</v>
      </c>
      <c r="H177" s="114">
        <f t="shared" si="53"/>
        <v>563.20000000000016</v>
      </c>
      <c r="I177" s="114">
        <f t="shared" si="54"/>
        <v>337.92</v>
      </c>
      <c r="J177" s="114">
        <f t="shared" si="49"/>
        <v>563.20000000000016</v>
      </c>
      <c r="K177" s="114">
        <f t="shared" si="50"/>
        <v>0</v>
      </c>
      <c r="L177" s="224">
        <f t="shared" si="55"/>
        <v>5575.68</v>
      </c>
      <c r="M177" s="114">
        <f>IFERROR(IF('Payroll 2020'!C177='Payroll 2020'!$A$3,IF('Income Statement 2020'!$F$22&gt;0,'Income Statement 2020'!$F$22*0.1*('Payroll 2020'!G177/SUMIF($C$173:$C$211,$A$3,$G$173:$G$211)),0),0),0)</f>
        <v>0</v>
      </c>
      <c r="N177" s="224">
        <f t="shared" si="56"/>
        <v>5575.68</v>
      </c>
    </row>
    <row r="178" spans="1:14" outlineLevel="1" x14ac:dyDescent="0.25">
      <c r="A178" s="104" t="s">
        <v>183</v>
      </c>
      <c r="B178" s="63">
        <v>6</v>
      </c>
      <c r="C178" s="105" t="s">
        <v>3</v>
      </c>
      <c r="D178" s="5" t="s">
        <v>486</v>
      </c>
      <c r="E178" s="308">
        <f t="shared" si="51"/>
        <v>28</v>
      </c>
      <c r="F178" s="45">
        <f t="shared" si="48"/>
        <v>176</v>
      </c>
      <c r="G178" s="303">
        <f t="shared" si="52"/>
        <v>4928</v>
      </c>
      <c r="H178" s="114">
        <f t="shared" si="53"/>
        <v>394.24000000000007</v>
      </c>
      <c r="I178" s="114">
        <f t="shared" si="54"/>
        <v>236.54400000000001</v>
      </c>
      <c r="J178" s="114">
        <f t="shared" si="49"/>
        <v>394.24000000000007</v>
      </c>
      <c r="K178" s="114">
        <f t="shared" si="50"/>
        <v>0</v>
      </c>
      <c r="L178" s="224">
        <f t="shared" si="55"/>
        <v>3902.9759999999997</v>
      </c>
      <c r="M178" s="114">
        <f>IFERROR(IF('Payroll 2020'!C178='Payroll 2020'!$A$3,IF('Income Statement 2020'!$F$22&gt;0,'Income Statement 2020'!$F$22*0.1*('Payroll 2020'!G178/SUMIF($C$173:$C$211,$A$3,$G$173:$G$211)),0),0),0)</f>
        <v>0</v>
      </c>
      <c r="N178" s="224">
        <f t="shared" si="56"/>
        <v>3902.9759999999997</v>
      </c>
    </row>
    <row r="179" spans="1:14" outlineLevel="1" x14ac:dyDescent="0.25">
      <c r="A179" s="104" t="s">
        <v>183</v>
      </c>
      <c r="B179" s="63">
        <v>7</v>
      </c>
      <c r="C179" s="105" t="s">
        <v>3</v>
      </c>
      <c r="D179" s="5" t="s">
        <v>486</v>
      </c>
      <c r="E179" s="308">
        <f t="shared" si="51"/>
        <v>23</v>
      </c>
      <c r="F179" s="45">
        <f t="shared" si="48"/>
        <v>176</v>
      </c>
      <c r="G179" s="303">
        <f t="shared" si="52"/>
        <v>4048</v>
      </c>
      <c r="H179" s="114">
        <f t="shared" si="53"/>
        <v>323.84000000000009</v>
      </c>
      <c r="I179" s="114">
        <f t="shared" si="54"/>
        <v>194.304</v>
      </c>
      <c r="J179" s="114">
        <f t="shared" si="49"/>
        <v>323.84000000000009</v>
      </c>
      <c r="K179" s="114">
        <f t="shared" si="50"/>
        <v>0</v>
      </c>
      <c r="L179" s="224">
        <f t="shared" si="55"/>
        <v>3206.0159999999996</v>
      </c>
      <c r="M179" s="114">
        <f>IFERROR(IF('Payroll 2020'!C179='Payroll 2020'!$A$3,IF('Income Statement 2020'!$F$22&gt;0,'Income Statement 2020'!$F$22*0.1*('Payroll 2020'!G179/SUMIF($C$173:$C$211,$A$3,$G$173:$G$211)),0),0),0)</f>
        <v>0</v>
      </c>
      <c r="N179" s="224">
        <f t="shared" si="56"/>
        <v>3206.0159999999996</v>
      </c>
    </row>
    <row r="180" spans="1:14" outlineLevel="1" x14ac:dyDescent="0.25">
      <c r="A180" s="104" t="s">
        <v>183</v>
      </c>
      <c r="B180" s="63">
        <v>8</v>
      </c>
      <c r="C180" s="105" t="s">
        <v>3</v>
      </c>
      <c r="D180" s="5" t="s">
        <v>486</v>
      </c>
      <c r="E180" s="308">
        <f t="shared" si="51"/>
        <v>23</v>
      </c>
      <c r="F180" s="45">
        <f t="shared" si="48"/>
        <v>176</v>
      </c>
      <c r="G180" s="303">
        <f t="shared" si="52"/>
        <v>4048</v>
      </c>
      <c r="H180" s="114">
        <f t="shared" si="53"/>
        <v>323.84000000000009</v>
      </c>
      <c r="I180" s="114">
        <f t="shared" si="54"/>
        <v>194.304</v>
      </c>
      <c r="J180" s="114">
        <f t="shared" si="49"/>
        <v>323.84000000000009</v>
      </c>
      <c r="K180" s="114">
        <f t="shared" si="50"/>
        <v>0</v>
      </c>
      <c r="L180" s="224">
        <f t="shared" si="55"/>
        <v>3206.0159999999996</v>
      </c>
      <c r="M180" s="114">
        <f>IFERROR(IF('Payroll 2020'!C180='Payroll 2020'!$A$3,IF('Income Statement 2020'!$F$22&gt;0,'Income Statement 2020'!$F$22*0.1*('Payroll 2020'!G180/SUMIF($C$173:$C$211,$A$3,$G$173:$G$211)),0),0),0)</f>
        <v>0</v>
      </c>
      <c r="N180" s="224">
        <f t="shared" si="56"/>
        <v>3206.0159999999996</v>
      </c>
    </row>
    <row r="181" spans="1:14" outlineLevel="1" x14ac:dyDescent="0.25">
      <c r="A181" s="17" t="s">
        <v>184</v>
      </c>
      <c r="B181" s="63">
        <v>9</v>
      </c>
      <c r="C181" s="8"/>
      <c r="D181" s="5" t="s">
        <v>487</v>
      </c>
      <c r="E181" s="313">
        <v>18</v>
      </c>
      <c r="F181" s="45">
        <f t="shared" si="48"/>
        <v>0</v>
      </c>
      <c r="G181" s="303">
        <f t="shared" si="52"/>
        <v>0</v>
      </c>
      <c r="H181" s="114">
        <f t="shared" si="53"/>
        <v>0</v>
      </c>
      <c r="I181" s="114">
        <f t="shared" si="54"/>
        <v>0</v>
      </c>
      <c r="J181" s="114">
        <f t="shared" si="49"/>
        <v>0</v>
      </c>
      <c r="K181" s="114">
        <f t="shared" si="50"/>
        <v>0</v>
      </c>
      <c r="L181" s="224">
        <f t="shared" si="55"/>
        <v>0</v>
      </c>
      <c r="M181" s="114">
        <f>IFERROR(IF('Payroll 2020'!C181='Payroll 2020'!$A$3,IF('Income Statement 2020'!$F$22&gt;0,'Income Statement 2020'!$F$22*0.1*('Payroll 2020'!G181/SUMIF($C$173:$C$211,$A$3,$G$173:$G$211)),0),0),0)</f>
        <v>0</v>
      </c>
      <c r="N181" s="224">
        <f t="shared" si="56"/>
        <v>0</v>
      </c>
    </row>
    <row r="182" spans="1:14" outlineLevel="1" x14ac:dyDescent="0.25">
      <c r="A182" s="17"/>
      <c r="B182" s="63">
        <v>10</v>
      </c>
      <c r="C182" s="8"/>
      <c r="D182" s="5"/>
      <c r="E182" s="313"/>
      <c r="F182" s="45">
        <f t="shared" si="48"/>
        <v>0</v>
      </c>
      <c r="G182" s="303">
        <f t="shared" si="52"/>
        <v>0</v>
      </c>
      <c r="H182" s="114">
        <f t="shared" si="53"/>
        <v>0</v>
      </c>
      <c r="I182" s="114">
        <f t="shared" si="54"/>
        <v>0</v>
      </c>
      <c r="J182" s="114">
        <f t="shared" si="49"/>
        <v>0</v>
      </c>
      <c r="K182" s="114">
        <f t="shared" si="50"/>
        <v>0</v>
      </c>
      <c r="L182" s="224">
        <f t="shared" si="55"/>
        <v>0</v>
      </c>
      <c r="M182" s="114">
        <f>IFERROR(IF('Payroll 2020'!C182='Payroll 2020'!$A$3,IF('Income Statement 2020'!$F$22&gt;0,'Income Statement 2020'!$F$22*0.1*('Payroll 2020'!G182/SUMIF($C$173:$C$211,$A$3,$G$173:$G$211)),0),0),0)</f>
        <v>0</v>
      </c>
      <c r="N182" s="224">
        <f t="shared" si="56"/>
        <v>0</v>
      </c>
    </row>
    <row r="183" spans="1:14" outlineLevel="1" x14ac:dyDescent="0.25">
      <c r="A183" s="18"/>
      <c r="B183" s="63">
        <v>11</v>
      </c>
      <c r="E183" s="124"/>
      <c r="F183" s="45">
        <f t="shared" si="48"/>
        <v>0</v>
      </c>
      <c r="G183" s="303">
        <f t="shared" si="52"/>
        <v>0</v>
      </c>
      <c r="H183" s="114">
        <f t="shared" si="53"/>
        <v>0</v>
      </c>
      <c r="I183" s="114">
        <f t="shared" si="54"/>
        <v>0</v>
      </c>
      <c r="J183" s="114">
        <f t="shared" si="49"/>
        <v>0</v>
      </c>
      <c r="K183" s="114">
        <f t="shared" si="50"/>
        <v>0</v>
      </c>
      <c r="L183" s="224">
        <f t="shared" si="55"/>
        <v>0</v>
      </c>
      <c r="M183" s="114">
        <f>IFERROR(IF('Payroll 2020'!C183='Payroll 2020'!$A$3,IF('Income Statement 2020'!$F$22&gt;0,'Income Statement 2020'!$F$22*0.1*('Payroll 2020'!G183/SUMIF($C$173:$C$211,$A$3,$G$173:$G$211)),0),0),0)</f>
        <v>0</v>
      </c>
      <c r="N183" s="224">
        <f t="shared" si="56"/>
        <v>0</v>
      </c>
    </row>
    <row r="184" spans="1:14" outlineLevel="1" x14ac:dyDescent="0.25">
      <c r="A184" s="18"/>
      <c r="B184" s="63">
        <v>12</v>
      </c>
      <c r="E184" s="124"/>
      <c r="F184" s="45">
        <f t="shared" si="48"/>
        <v>0</v>
      </c>
      <c r="G184" s="303">
        <f t="shared" si="52"/>
        <v>0</v>
      </c>
      <c r="H184" s="114">
        <f t="shared" si="53"/>
        <v>0</v>
      </c>
      <c r="I184" s="114">
        <f t="shared" si="54"/>
        <v>0</v>
      </c>
      <c r="J184" s="114">
        <f t="shared" si="49"/>
        <v>0</v>
      </c>
      <c r="K184" s="114">
        <f t="shared" si="50"/>
        <v>0</v>
      </c>
      <c r="L184" s="224">
        <f t="shared" si="55"/>
        <v>0</v>
      </c>
      <c r="M184" s="114">
        <f>IFERROR(IF('Payroll 2020'!C184='Payroll 2020'!$A$3,IF('Income Statement 2020'!$F$22&gt;0,'Income Statement 2020'!$F$22*0.1*('Payroll 2020'!G184/SUMIF($C$173:$C$211,$A$3,$G$173:$G$211)),0),0),0)</f>
        <v>0</v>
      </c>
      <c r="N184" s="224">
        <f t="shared" si="56"/>
        <v>0</v>
      </c>
    </row>
    <row r="185" spans="1:14" outlineLevel="1" x14ac:dyDescent="0.25">
      <c r="A185" s="18"/>
      <c r="B185" s="63">
        <v>13</v>
      </c>
      <c r="E185" s="124"/>
      <c r="F185" s="45">
        <f t="shared" si="48"/>
        <v>0</v>
      </c>
      <c r="G185" s="303">
        <f t="shared" si="52"/>
        <v>0</v>
      </c>
      <c r="H185" s="114">
        <f t="shared" si="53"/>
        <v>0</v>
      </c>
      <c r="I185" s="114">
        <f t="shared" si="54"/>
        <v>0</v>
      </c>
      <c r="J185" s="114">
        <f t="shared" si="49"/>
        <v>0</v>
      </c>
      <c r="K185" s="114">
        <f t="shared" si="50"/>
        <v>0</v>
      </c>
      <c r="L185" s="224">
        <f t="shared" si="55"/>
        <v>0</v>
      </c>
      <c r="M185" s="114">
        <f>IFERROR(IF('Payroll 2020'!C185='Payroll 2020'!$A$3,IF('Income Statement 2020'!$F$22&gt;0,'Income Statement 2020'!$F$22*0.1*('Payroll 2020'!G185/SUMIF($C$173:$C$211,$A$3,$G$173:$G$211)),0),0),0)</f>
        <v>0</v>
      </c>
      <c r="N185" s="224">
        <f t="shared" si="56"/>
        <v>0</v>
      </c>
    </row>
    <row r="186" spans="1:14" outlineLevel="1" x14ac:dyDescent="0.25">
      <c r="A186" s="18"/>
      <c r="B186" s="63">
        <v>14</v>
      </c>
      <c r="E186" s="124"/>
      <c r="F186" s="45">
        <f t="shared" si="48"/>
        <v>0</v>
      </c>
      <c r="G186" s="303">
        <f t="shared" si="52"/>
        <v>0</v>
      </c>
      <c r="H186" s="114">
        <f t="shared" si="53"/>
        <v>0</v>
      </c>
      <c r="I186" s="114">
        <f t="shared" si="54"/>
        <v>0</v>
      </c>
      <c r="J186" s="114">
        <f t="shared" si="49"/>
        <v>0</v>
      </c>
      <c r="K186" s="114">
        <f t="shared" si="50"/>
        <v>0</v>
      </c>
      <c r="L186" s="224">
        <f t="shared" si="55"/>
        <v>0</v>
      </c>
      <c r="M186" s="114">
        <f>IFERROR(IF('Payroll 2020'!C186='Payroll 2020'!$A$3,IF('Income Statement 2020'!$F$22&gt;0,'Income Statement 2020'!$F$22*0.1*('Payroll 2020'!G186/SUMIF($C$173:$C$211,$A$3,$G$173:$G$211)),0),0),0)</f>
        <v>0</v>
      </c>
      <c r="N186" s="224">
        <f t="shared" si="56"/>
        <v>0</v>
      </c>
    </row>
    <row r="187" spans="1:14" outlineLevel="1" x14ac:dyDescent="0.25">
      <c r="A187" s="18"/>
      <c r="B187" s="63">
        <v>15</v>
      </c>
      <c r="E187" s="124"/>
      <c r="F187" s="45">
        <f t="shared" si="48"/>
        <v>0</v>
      </c>
      <c r="G187" s="303">
        <f t="shared" si="52"/>
        <v>0</v>
      </c>
      <c r="H187" s="114">
        <f t="shared" si="53"/>
        <v>0</v>
      </c>
      <c r="I187" s="114">
        <f t="shared" si="54"/>
        <v>0</v>
      </c>
      <c r="J187" s="114">
        <f t="shared" si="49"/>
        <v>0</v>
      </c>
      <c r="K187" s="114">
        <f t="shared" si="50"/>
        <v>0</v>
      </c>
      <c r="L187" s="224">
        <f t="shared" si="55"/>
        <v>0</v>
      </c>
      <c r="M187" s="114">
        <f>IFERROR(IF('Payroll 2020'!C187='Payroll 2020'!$A$3,IF('Income Statement 2020'!$F$22&gt;0,'Income Statement 2020'!$F$22*0.1*('Payroll 2020'!G187/SUMIF($C$173:$C$211,$A$3,$G$173:$G$211)),0),0),0)</f>
        <v>0</v>
      </c>
      <c r="N187" s="224">
        <f t="shared" si="56"/>
        <v>0</v>
      </c>
    </row>
    <row r="188" spans="1:14" outlineLevel="1" x14ac:dyDescent="0.25">
      <c r="A188" s="18"/>
      <c r="B188" s="63">
        <v>16</v>
      </c>
      <c r="E188" s="124"/>
      <c r="F188" s="45">
        <f t="shared" si="48"/>
        <v>0</v>
      </c>
      <c r="G188" s="303">
        <f t="shared" si="52"/>
        <v>0</v>
      </c>
      <c r="H188" s="114">
        <f t="shared" si="53"/>
        <v>0</v>
      </c>
      <c r="I188" s="114">
        <f t="shared" si="54"/>
        <v>0</v>
      </c>
      <c r="J188" s="114">
        <f t="shared" si="49"/>
        <v>0</v>
      </c>
      <c r="K188" s="114">
        <f t="shared" si="50"/>
        <v>0</v>
      </c>
      <c r="L188" s="224">
        <f t="shared" si="55"/>
        <v>0</v>
      </c>
      <c r="M188" s="114">
        <f>IFERROR(IF('Payroll 2020'!C188='Payroll 2020'!$A$3,IF('Income Statement 2020'!$F$22&gt;0,'Income Statement 2020'!$F$22*0.1*('Payroll 2020'!G188/SUMIF($C$173:$C$211,$A$3,$G$173:$G$211)),0),0),0)</f>
        <v>0</v>
      </c>
      <c r="N188" s="224">
        <f t="shared" si="56"/>
        <v>0</v>
      </c>
    </row>
    <row r="189" spans="1:14" outlineLevel="1" x14ac:dyDescent="0.25">
      <c r="A189" s="18"/>
      <c r="B189" s="63">
        <v>17</v>
      </c>
      <c r="E189" s="124"/>
      <c r="F189" s="45">
        <f t="shared" si="48"/>
        <v>0</v>
      </c>
      <c r="G189" s="303">
        <f t="shared" si="52"/>
        <v>0</v>
      </c>
      <c r="H189" s="114">
        <f t="shared" si="53"/>
        <v>0</v>
      </c>
      <c r="I189" s="114">
        <f t="shared" si="54"/>
        <v>0</v>
      </c>
      <c r="J189" s="114">
        <f t="shared" si="49"/>
        <v>0</v>
      </c>
      <c r="K189" s="114">
        <f t="shared" si="50"/>
        <v>0</v>
      </c>
      <c r="L189" s="224">
        <f t="shared" si="55"/>
        <v>0</v>
      </c>
      <c r="M189" s="114">
        <f>IFERROR(IF('Payroll 2020'!C189='Payroll 2020'!$A$3,IF('Income Statement 2020'!$F$22&gt;0,'Income Statement 2020'!$F$22*0.1*('Payroll 2020'!G189/SUMIF($C$173:$C$211,$A$3,$G$173:$G$211)),0),0),0)</f>
        <v>0</v>
      </c>
      <c r="N189" s="224">
        <f t="shared" si="56"/>
        <v>0</v>
      </c>
    </row>
    <row r="190" spans="1:14" outlineLevel="1" x14ac:dyDescent="0.25">
      <c r="A190" s="18"/>
      <c r="B190" s="63">
        <v>18</v>
      </c>
      <c r="E190" s="124"/>
      <c r="F190" s="45">
        <f t="shared" si="48"/>
        <v>0</v>
      </c>
      <c r="G190" s="303">
        <f t="shared" si="52"/>
        <v>0</v>
      </c>
      <c r="H190" s="114">
        <f t="shared" si="53"/>
        <v>0</v>
      </c>
      <c r="I190" s="114">
        <f t="shared" si="54"/>
        <v>0</v>
      </c>
      <c r="J190" s="114">
        <f t="shared" si="49"/>
        <v>0</v>
      </c>
      <c r="K190" s="114">
        <f t="shared" si="50"/>
        <v>0</v>
      </c>
      <c r="L190" s="224">
        <f t="shared" si="55"/>
        <v>0</v>
      </c>
      <c r="M190" s="114">
        <f>IFERROR(IF('Payroll 2020'!C190='Payroll 2020'!$A$3,IF('Income Statement 2020'!$F$22&gt;0,'Income Statement 2020'!$F$22*0.1*('Payroll 2020'!G190/SUMIF($C$173:$C$211,$A$3,$G$173:$G$211)),0),0),0)</f>
        <v>0</v>
      </c>
      <c r="N190" s="224">
        <f t="shared" si="56"/>
        <v>0</v>
      </c>
    </row>
    <row r="191" spans="1:14" outlineLevel="1" x14ac:dyDescent="0.25">
      <c r="A191" s="18"/>
      <c r="B191" s="63">
        <v>19</v>
      </c>
      <c r="E191" s="124"/>
      <c r="F191" s="45">
        <f t="shared" si="48"/>
        <v>0</v>
      </c>
      <c r="G191" s="303">
        <f t="shared" si="52"/>
        <v>0</v>
      </c>
      <c r="H191" s="114">
        <f t="shared" si="53"/>
        <v>0</v>
      </c>
      <c r="I191" s="114">
        <f t="shared" si="54"/>
        <v>0</v>
      </c>
      <c r="J191" s="114">
        <f t="shared" si="49"/>
        <v>0</v>
      </c>
      <c r="K191" s="114">
        <f t="shared" si="50"/>
        <v>0</v>
      </c>
      <c r="L191" s="224">
        <f t="shared" si="55"/>
        <v>0</v>
      </c>
      <c r="M191" s="114">
        <f>IFERROR(IF('Payroll 2020'!C191='Payroll 2020'!$A$3,IF('Income Statement 2020'!$F$22&gt;0,'Income Statement 2020'!$F$22*0.1*('Payroll 2020'!G191/SUMIF($C$173:$C$211,$A$3,$G$173:$G$211)),0),0),0)</f>
        <v>0</v>
      </c>
      <c r="N191" s="224">
        <f t="shared" si="56"/>
        <v>0</v>
      </c>
    </row>
    <row r="192" spans="1:14" outlineLevel="1" x14ac:dyDescent="0.25">
      <c r="A192" s="18"/>
      <c r="B192" s="63">
        <v>20</v>
      </c>
      <c r="E192" s="124"/>
      <c r="F192" s="45">
        <f t="shared" si="48"/>
        <v>0</v>
      </c>
      <c r="G192" s="303">
        <f t="shared" si="52"/>
        <v>0</v>
      </c>
      <c r="H192" s="114">
        <f t="shared" si="53"/>
        <v>0</v>
      </c>
      <c r="I192" s="114">
        <f t="shared" si="54"/>
        <v>0</v>
      </c>
      <c r="J192" s="114">
        <f t="shared" si="49"/>
        <v>0</v>
      </c>
      <c r="K192" s="114">
        <f t="shared" si="50"/>
        <v>0</v>
      </c>
      <c r="L192" s="224">
        <f t="shared" si="55"/>
        <v>0</v>
      </c>
      <c r="M192" s="114">
        <f>IFERROR(IF('Payroll 2020'!C192='Payroll 2020'!$A$3,IF('Income Statement 2020'!$F$22&gt;0,'Income Statement 2020'!$F$22*0.1*('Payroll 2020'!G192/SUMIF($C$173:$C$211,$A$3,$G$173:$G$211)),0),0),0)</f>
        <v>0</v>
      </c>
      <c r="N192" s="224">
        <f t="shared" si="56"/>
        <v>0</v>
      </c>
    </row>
    <row r="193" spans="1:14" outlineLevel="1" x14ac:dyDescent="0.25">
      <c r="A193" s="18"/>
      <c r="B193" s="63">
        <v>21</v>
      </c>
      <c r="E193" s="124"/>
      <c r="F193" s="45">
        <f t="shared" si="48"/>
        <v>0</v>
      </c>
      <c r="G193" s="303">
        <f t="shared" si="52"/>
        <v>0</v>
      </c>
      <c r="H193" s="114">
        <f t="shared" si="53"/>
        <v>0</v>
      </c>
      <c r="I193" s="114">
        <f t="shared" si="54"/>
        <v>0</v>
      </c>
      <c r="J193" s="114">
        <f t="shared" si="49"/>
        <v>0</v>
      </c>
      <c r="K193" s="114">
        <f t="shared" si="50"/>
        <v>0</v>
      </c>
      <c r="L193" s="224">
        <f t="shared" si="55"/>
        <v>0</v>
      </c>
      <c r="M193" s="114">
        <f>IFERROR(IF('Payroll 2020'!C193='Payroll 2020'!$A$3,IF('Income Statement 2020'!$F$22&gt;0,'Income Statement 2020'!$F$22*0.1*('Payroll 2020'!G193/SUMIF($C$173:$C$211,$A$3,$G$173:$G$211)),0),0),0)</f>
        <v>0</v>
      </c>
      <c r="N193" s="224">
        <f t="shared" si="56"/>
        <v>0</v>
      </c>
    </row>
    <row r="194" spans="1:14" outlineLevel="1" x14ac:dyDescent="0.25">
      <c r="A194" s="18"/>
      <c r="B194" s="63">
        <v>22</v>
      </c>
      <c r="E194" s="124"/>
      <c r="F194" s="45">
        <f t="shared" si="48"/>
        <v>0</v>
      </c>
      <c r="G194" s="303">
        <f t="shared" si="52"/>
        <v>0</v>
      </c>
      <c r="H194" s="114">
        <f t="shared" si="53"/>
        <v>0</v>
      </c>
      <c r="I194" s="114">
        <f t="shared" si="54"/>
        <v>0</v>
      </c>
      <c r="J194" s="114">
        <f t="shared" si="49"/>
        <v>0</v>
      </c>
      <c r="K194" s="114">
        <f t="shared" si="50"/>
        <v>0</v>
      </c>
      <c r="L194" s="224">
        <f t="shared" si="55"/>
        <v>0</v>
      </c>
      <c r="M194" s="114">
        <f>IFERROR(IF('Payroll 2020'!C194='Payroll 2020'!$A$3,IF('Income Statement 2020'!$F$22&gt;0,'Income Statement 2020'!$F$22*0.1*('Payroll 2020'!G194/SUMIF($C$173:$C$211,$A$3,$G$173:$G$211)),0),0),0)</f>
        <v>0</v>
      </c>
      <c r="N194" s="224">
        <f t="shared" si="56"/>
        <v>0</v>
      </c>
    </row>
    <row r="195" spans="1:14" outlineLevel="1" x14ac:dyDescent="0.25">
      <c r="A195" s="18"/>
      <c r="B195" s="63">
        <v>23</v>
      </c>
      <c r="E195" s="124"/>
      <c r="F195" s="45">
        <f t="shared" si="48"/>
        <v>0</v>
      </c>
      <c r="G195" s="303">
        <f t="shared" si="52"/>
        <v>0</v>
      </c>
      <c r="H195" s="114">
        <f t="shared" si="53"/>
        <v>0</v>
      </c>
      <c r="I195" s="114">
        <f t="shared" si="54"/>
        <v>0</v>
      </c>
      <c r="J195" s="114">
        <f t="shared" si="49"/>
        <v>0</v>
      </c>
      <c r="K195" s="114">
        <f t="shared" si="50"/>
        <v>0</v>
      </c>
      <c r="L195" s="224">
        <f t="shared" si="55"/>
        <v>0</v>
      </c>
      <c r="M195" s="114">
        <f>IFERROR(IF('Payroll 2020'!C195='Payroll 2020'!$A$3,IF('Income Statement 2020'!$F$22&gt;0,'Income Statement 2020'!$F$22*0.1*('Payroll 2020'!G195/SUMIF($C$173:$C$211,$A$3,$G$173:$G$211)),0),0),0)</f>
        <v>0</v>
      </c>
      <c r="N195" s="224">
        <f t="shared" si="56"/>
        <v>0</v>
      </c>
    </row>
    <row r="196" spans="1:14" outlineLevel="1" x14ac:dyDescent="0.25">
      <c r="A196" s="18"/>
      <c r="B196" s="63">
        <v>24</v>
      </c>
      <c r="E196" s="124"/>
      <c r="F196" s="45">
        <f t="shared" si="48"/>
        <v>0</v>
      </c>
      <c r="G196" s="303">
        <f t="shared" si="52"/>
        <v>0</v>
      </c>
      <c r="H196" s="114">
        <f t="shared" si="53"/>
        <v>0</v>
      </c>
      <c r="I196" s="114">
        <f t="shared" si="54"/>
        <v>0</v>
      </c>
      <c r="J196" s="114">
        <f t="shared" si="49"/>
        <v>0</v>
      </c>
      <c r="K196" s="114">
        <f t="shared" si="50"/>
        <v>0</v>
      </c>
      <c r="L196" s="224">
        <f t="shared" si="55"/>
        <v>0</v>
      </c>
      <c r="M196" s="114">
        <f>IFERROR(IF('Payroll 2020'!C196='Payroll 2020'!$A$3,IF('Income Statement 2020'!$F$22&gt;0,'Income Statement 2020'!$F$22*0.1*('Payroll 2020'!G196/SUMIF($C$173:$C$211,$A$3,$G$173:$G$211)),0),0),0)</f>
        <v>0</v>
      </c>
      <c r="N196" s="224">
        <f t="shared" si="56"/>
        <v>0</v>
      </c>
    </row>
    <row r="197" spans="1:14" outlineLevel="1" x14ac:dyDescent="0.25">
      <c r="A197" s="18"/>
      <c r="B197" s="63">
        <v>25</v>
      </c>
      <c r="E197" s="124"/>
      <c r="F197" s="45">
        <f t="shared" si="48"/>
        <v>0</v>
      </c>
      <c r="G197" s="303">
        <f t="shared" si="52"/>
        <v>0</v>
      </c>
      <c r="H197" s="114">
        <f t="shared" si="53"/>
        <v>0</v>
      </c>
      <c r="I197" s="114">
        <f t="shared" si="54"/>
        <v>0</v>
      </c>
      <c r="J197" s="114">
        <f t="shared" si="49"/>
        <v>0</v>
      </c>
      <c r="K197" s="114">
        <f t="shared" si="50"/>
        <v>0</v>
      </c>
      <c r="L197" s="224">
        <f t="shared" si="55"/>
        <v>0</v>
      </c>
      <c r="M197" s="114">
        <f>IFERROR(IF('Payroll 2020'!C197='Payroll 2020'!$A$3,IF('Income Statement 2020'!$F$22&gt;0,'Income Statement 2020'!$F$22*0.1*('Payroll 2020'!G197/SUMIF($C$173:$C$211,$A$3,$G$173:$G$211)),0),0),0)</f>
        <v>0</v>
      </c>
      <c r="N197" s="224">
        <f t="shared" si="56"/>
        <v>0</v>
      </c>
    </row>
    <row r="198" spans="1:14" outlineLevel="1" x14ac:dyDescent="0.25">
      <c r="A198" s="18"/>
      <c r="B198" s="63">
        <v>26</v>
      </c>
      <c r="E198" s="124"/>
      <c r="F198" s="45">
        <f t="shared" si="48"/>
        <v>0</v>
      </c>
      <c r="G198" s="303">
        <f t="shared" si="52"/>
        <v>0</v>
      </c>
      <c r="H198" s="114">
        <f t="shared" si="53"/>
        <v>0</v>
      </c>
      <c r="I198" s="114">
        <f t="shared" si="54"/>
        <v>0</v>
      </c>
      <c r="J198" s="114">
        <f t="shared" si="49"/>
        <v>0</v>
      </c>
      <c r="K198" s="114">
        <f t="shared" si="50"/>
        <v>0</v>
      </c>
      <c r="L198" s="224">
        <f t="shared" si="55"/>
        <v>0</v>
      </c>
      <c r="M198" s="114">
        <f>IFERROR(IF('Payroll 2020'!C198='Payroll 2020'!$A$3,IF('Income Statement 2020'!$F$22&gt;0,'Income Statement 2020'!$F$22*0.1*('Payroll 2020'!G198/SUMIF($C$173:$C$211,$A$3,$G$173:$G$211)),0),0),0)</f>
        <v>0</v>
      </c>
      <c r="N198" s="224">
        <f t="shared" si="56"/>
        <v>0</v>
      </c>
    </row>
    <row r="199" spans="1:14" outlineLevel="1" x14ac:dyDescent="0.25">
      <c r="A199" s="18"/>
      <c r="B199" s="63">
        <v>27</v>
      </c>
      <c r="E199" s="124"/>
      <c r="F199" s="45">
        <f t="shared" si="48"/>
        <v>0</v>
      </c>
      <c r="G199" s="303">
        <f t="shared" si="52"/>
        <v>0</v>
      </c>
      <c r="H199" s="114">
        <f t="shared" si="53"/>
        <v>0</v>
      </c>
      <c r="I199" s="114">
        <f t="shared" si="54"/>
        <v>0</v>
      </c>
      <c r="J199" s="114">
        <f t="shared" si="49"/>
        <v>0</v>
      </c>
      <c r="K199" s="114">
        <f t="shared" si="50"/>
        <v>0</v>
      </c>
      <c r="L199" s="224">
        <f t="shared" si="55"/>
        <v>0</v>
      </c>
      <c r="M199" s="114">
        <f>IFERROR(IF('Payroll 2020'!C199='Payroll 2020'!$A$3,IF('Income Statement 2020'!$F$22&gt;0,'Income Statement 2020'!$F$22*0.1*('Payroll 2020'!G199/SUMIF($C$173:$C$211,$A$3,$G$173:$G$211)),0),0),0)</f>
        <v>0</v>
      </c>
      <c r="N199" s="224">
        <f t="shared" si="56"/>
        <v>0</v>
      </c>
    </row>
    <row r="200" spans="1:14" outlineLevel="1" x14ac:dyDescent="0.25">
      <c r="A200" s="18"/>
      <c r="B200" s="63">
        <v>28</v>
      </c>
      <c r="E200" s="124"/>
      <c r="F200" s="45">
        <f t="shared" si="48"/>
        <v>0</v>
      </c>
      <c r="G200" s="303">
        <f t="shared" si="52"/>
        <v>0</v>
      </c>
      <c r="H200" s="114">
        <f t="shared" si="53"/>
        <v>0</v>
      </c>
      <c r="I200" s="114">
        <f t="shared" si="54"/>
        <v>0</v>
      </c>
      <c r="J200" s="114">
        <f t="shared" si="49"/>
        <v>0</v>
      </c>
      <c r="K200" s="114">
        <f t="shared" si="50"/>
        <v>0</v>
      </c>
      <c r="L200" s="224">
        <f t="shared" si="55"/>
        <v>0</v>
      </c>
      <c r="M200" s="114">
        <f>IFERROR(IF('Payroll 2020'!C200='Payroll 2020'!$A$3,IF('Income Statement 2020'!$F$22&gt;0,'Income Statement 2020'!$F$22*0.1*('Payroll 2020'!G200/SUMIF($C$173:$C$211,$A$3,$G$173:$G$211)),0),0),0)</f>
        <v>0</v>
      </c>
      <c r="N200" s="224">
        <f t="shared" si="56"/>
        <v>0</v>
      </c>
    </row>
    <row r="201" spans="1:14" outlineLevel="1" x14ac:dyDescent="0.25">
      <c r="A201" s="18"/>
      <c r="B201" s="63">
        <v>29</v>
      </c>
      <c r="E201" s="124"/>
      <c r="F201" s="45">
        <f t="shared" si="48"/>
        <v>0</v>
      </c>
      <c r="G201" s="303">
        <f t="shared" si="52"/>
        <v>0</v>
      </c>
      <c r="H201" s="114">
        <f t="shared" si="53"/>
        <v>0</v>
      </c>
      <c r="I201" s="114">
        <f t="shared" si="54"/>
        <v>0</v>
      </c>
      <c r="J201" s="114">
        <f t="shared" si="49"/>
        <v>0</v>
      </c>
      <c r="K201" s="114">
        <f t="shared" si="50"/>
        <v>0</v>
      </c>
      <c r="L201" s="224">
        <f t="shared" si="55"/>
        <v>0</v>
      </c>
      <c r="M201" s="114">
        <f>IFERROR(IF('Payroll 2020'!C201='Payroll 2020'!$A$3,IF('Income Statement 2020'!$F$22&gt;0,'Income Statement 2020'!$F$22*0.1*('Payroll 2020'!G201/SUMIF($C$173:$C$211,$A$3,$G$173:$G$211)),0),0),0)</f>
        <v>0</v>
      </c>
      <c r="N201" s="224">
        <f t="shared" si="56"/>
        <v>0</v>
      </c>
    </row>
    <row r="202" spans="1:14" outlineLevel="1" x14ac:dyDescent="0.25">
      <c r="A202" s="18"/>
      <c r="B202" s="63">
        <v>30</v>
      </c>
      <c r="E202" s="124"/>
      <c r="F202" s="45">
        <f t="shared" si="48"/>
        <v>0</v>
      </c>
      <c r="G202" s="303">
        <f t="shared" si="52"/>
        <v>0</v>
      </c>
      <c r="H202" s="114">
        <f t="shared" si="53"/>
        <v>0</v>
      </c>
      <c r="I202" s="114">
        <f t="shared" si="54"/>
        <v>0</v>
      </c>
      <c r="J202" s="114">
        <f t="shared" si="49"/>
        <v>0</v>
      </c>
      <c r="K202" s="114">
        <f t="shared" si="50"/>
        <v>0</v>
      </c>
      <c r="L202" s="224">
        <f t="shared" si="55"/>
        <v>0</v>
      </c>
      <c r="M202" s="114">
        <f>IFERROR(IF('Payroll 2020'!C202='Payroll 2020'!$A$3,IF('Income Statement 2020'!$F$22&gt;0,'Income Statement 2020'!$F$22*0.1*('Payroll 2020'!G202/SUMIF($C$173:$C$211,$A$3,$G$173:$G$211)),0),0),0)</f>
        <v>0</v>
      </c>
      <c r="N202" s="224">
        <f t="shared" si="56"/>
        <v>0</v>
      </c>
    </row>
    <row r="203" spans="1:14" outlineLevel="1" x14ac:dyDescent="0.25">
      <c r="A203" s="18"/>
      <c r="B203" s="63">
        <v>31</v>
      </c>
      <c r="E203" s="124"/>
      <c r="F203" s="45">
        <f t="shared" si="48"/>
        <v>0</v>
      </c>
      <c r="G203" s="303">
        <f t="shared" si="52"/>
        <v>0</v>
      </c>
      <c r="H203" s="114">
        <f t="shared" si="53"/>
        <v>0</v>
      </c>
      <c r="I203" s="114">
        <f t="shared" si="54"/>
        <v>0</v>
      </c>
      <c r="J203" s="114">
        <f t="shared" si="49"/>
        <v>0</v>
      </c>
      <c r="K203" s="114">
        <f t="shared" si="50"/>
        <v>0</v>
      </c>
      <c r="L203" s="224">
        <f t="shared" si="55"/>
        <v>0</v>
      </c>
      <c r="M203" s="114">
        <f>IFERROR(IF('Payroll 2020'!C203='Payroll 2020'!$A$3,IF('Income Statement 2020'!$F$22&gt;0,'Income Statement 2020'!$F$22*0.1*('Payroll 2020'!G203/SUMIF($C$173:$C$211,$A$3,$G$173:$G$211)),0),0),0)</f>
        <v>0</v>
      </c>
      <c r="N203" s="224">
        <f t="shared" si="56"/>
        <v>0</v>
      </c>
    </row>
    <row r="204" spans="1:14" outlineLevel="1" x14ac:dyDescent="0.25">
      <c r="A204" s="18"/>
      <c r="B204" s="63">
        <v>32</v>
      </c>
      <c r="E204" s="124"/>
      <c r="F204" s="45">
        <f t="shared" si="48"/>
        <v>0</v>
      </c>
      <c r="G204" s="303">
        <f t="shared" si="52"/>
        <v>0</v>
      </c>
      <c r="H204" s="114">
        <f t="shared" si="53"/>
        <v>0</v>
      </c>
      <c r="I204" s="114">
        <f t="shared" si="54"/>
        <v>0</v>
      </c>
      <c r="J204" s="114">
        <f t="shared" si="49"/>
        <v>0</v>
      </c>
      <c r="K204" s="114">
        <f t="shared" si="50"/>
        <v>0</v>
      </c>
      <c r="L204" s="224">
        <f t="shared" si="55"/>
        <v>0</v>
      </c>
      <c r="M204" s="114">
        <f>IFERROR(IF('Payroll 2020'!C204='Payroll 2020'!$A$3,IF('Income Statement 2020'!$F$22&gt;0,'Income Statement 2020'!$F$22*0.1*('Payroll 2020'!G204/SUMIF($C$173:$C$211,$A$3,$G$173:$G$211)),0),0),0)</f>
        <v>0</v>
      </c>
      <c r="N204" s="224">
        <f t="shared" si="56"/>
        <v>0</v>
      </c>
    </row>
    <row r="205" spans="1:14" outlineLevel="1" x14ac:dyDescent="0.25">
      <c r="A205" s="18"/>
      <c r="B205" s="63">
        <v>33</v>
      </c>
      <c r="E205" s="124"/>
      <c r="F205" s="45">
        <f t="shared" si="48"/>
        <v>0</v>
      </c>
      <c r="G205" s="303">
        <f t="shared" si="52"/>
        <v>0</v>
      </c>
      <c r="H205" s="114">
        <f t="shared" si="53"/>
        <v>0</v>
      </c>
      <c r="I205" s="114">
        <f t="shared" si="54"/>
        <v>0</v>
      </c>
      <c r="J205" s="114">
        <f t="shared" si="49"/>
        <v>0</v>
      </c>
      <c r="K205" s="114">
        <f t="shared" si="50"/>
        <v>0</v>
      </c>
      <c r="L205" s="224">
        <f t="shared" si="55"/>
        <v>0</v>
      </c>
      <c r="M205" s="114">
        <f>IFERROR(IF('Payroll 2020'!C205='Payroll 2020'!$A$3,IF('Income Statement 2020'!$F$22&gt;0,'Income Statement 2020'!$F$22*0.1*('Payroll 2020'!G205/SUMIF($C$173:$C$211,$A$3,$G$173:$G$211)),0),0),0)</f>
        <v>0</v>
      </c>
      <c r="N205" s="224">
        <f t="shared" si="56"/>
        <v>0</v>
      </c>
    </row>
    <row r="206" spans="1:14" outlineLevel="1" x14ac:dyDescent="0.25">
      <c r="A206" s="18"/>
      <c r="B206" s="63">
        <v>34</v>
      </c>
      <c r="E206" s="124"/>
      <c r="F206" s="45">
        <f t="shared" si="48"/>
        <v>0</v>
      </c>
      <c r="G206" s="303">
        <f t="shared" si="52"/>
        <v>0</v>
      </c>
      <c r="H206" s="114">
        <f t="shared" si="53"/>
        <v>0</v>
      </c>
      <c r="I206" s="114">
        <f t="shared" si="54"/>
        <v>0</v>
      </c>
      <c r="J206" s="114">
        <f t="shared" si="49"/>
        <v>0</v>
      </c>
      <c r="K206" s="114">
        <f t="shared" si="50"/>
        <v>0</v>
      </c>
      <c r="L206" s="224">
        <f t="shared" si="55"/>
        <v>0</v>
      </c>
      <c r="M206" s="114">
        <f>IFERROR(IF('Payroll 2020'!C206='Payroll 2020'!$A$3,IF('Income Statement 2020'!$F$22&gt;0,'Income Statement 2020'!$F$22*0.1*('Payroll 2020'!G206/SUMIF($C$173:$C$211,$A$3,$G$173:$G$211)),0),0),0)</f>
        <v>0</v>
      </c>
      <c r="N206" s="224">
        <f t="shared" si="56"/>
        <v>0</v>
      </c>
    </row>
    <row r="207" spans="1:14" outlineLevel="1" x14ac:dyDescent="0.25">
      <c r="A207" s="18"/>
      <c r="B207" s="63">
        <v>35</v>
      </c>
      <c r="E207" s="124"/>
      <c r="F207" s="45">
        <f t="shared" si="48"/>
        <v>0</v>
      </c>
      <c r="G207" s="303">
        <f t="shared" si="52"/>
        <v>0</v>
      </c>
      <c r="H207" s="114">
        <f t="shared" si="53"/>
        <v>0</v>
      </c>
      <c r="I207" s="114">
        <f t="shared" si="54"/>
        <v>0</v>
      </c>
      <c r="J207" s="114">
        <f t="shared" si="49"/>
        <v>0</v>
      </c>
      <c r="K207" s="114">
        <f t="shared" si="50"/>
        <v>0</v>
      </c>
      <c r="L207" s="224">
        <f t="shared" si="55"/>
        <v>0</v>
      </c>
      <c r="M207" s="114">
        <f>IFERROR(IF('Payroll 2020'!C207='Payroll 2020'!$A$3,IF('Income Statement 2020'!$F$22&gt;0,'Income Statement 2020'!$F$22*0.1*('Payroll 2020'!G207/SUMIF($C$173:$C$211,$A$3,$G$173:$G$211)),0),0),0)</f>
        <v>0</v>
      </c>
      <c r="N207" s="224">
        <f t="shared" si="56"/>
        <v>0</v>
      </c>
    </row>
    <row r="208" spans="1:14" outlineLevel="1" x14ac:dyDescent="0.25">
      <c r="A208" s="18"/>
      <c r="B208" s="63">
        <v>36</v>
      </c>
      <c r="E208" s="124"/>
      <c r="F208" s="45">
        <f t="shared" si="48"/>
        <v>0</v>
      </c>
      <c r="G208" s="303">
        <f t="shared" si="52"/>
        <v>0</v>
      </c>
      <c r="H208" s="114">
        <f t="shared" si="53"/>
        <v>0</v>
      </c>
      <c r="I208" s="114">
        <f t="shared" si="54"/>
        <v>0</v>
      </c>
      <c r="J208" s="114">
        <f t="shared" si="49"/>
        <v>0</v>
      </c>
      <c r="K208" s="114">
        <f t="shared" si="50"/>
        <v>0</v>
      </c>
      <c r="L208" s="224">
        <f t="shared" si="55"/>
        <v>0</v>
      </c>
      <c r="M208" s="114">
        <f>IFERROR(IF('Payroll 2020'!C208='Payroll 2020'!$A$3,IF('Income Statement 2020'!$F$22&gt;0,'Income Statement 2020'!$F$22*0.1*('Payroll 2020'!G208/SUMIF($C$173:$C$211,$A$3,$G$173:$G$211)),0),0),0)</f>
        <v>0</v>
      </c>
      <c r="N208" s="224">
        <f t="shared" si="56"/>
        <v>0</v>
      </c>
    </row>
    <row r="209" spans="1:14" outlineLevel="1" x14ac:dyDescent="0.25">
      <c r="A209" s="18"/>
      <c r="B209" s="63">
        <v>37</v>
      </c>
      <c r="E209" s="124"/>
      <c r="F209" s="45">
        <f t="shared" si="48"/>
        <v>0</v>
      </c>
      <c r="G209" s="303">
        <f t="shared" si="52"/>
        <v>0</v>
      </c>
      <c r="H209" s="114">
        <f t="shared" si="53"/>
        <v>0</v>
      </c>
      <c r="I209" s="114">
        <f t="shared" si="54"/>
        <v>0</v>
      </c>
      <c r="J209" s="114">
        <f t="shared" si="49"/>
        <v>0</v>
      </c>
      <c r="K209" s="114">
        <f t="shared" si="50"/>
        <v>0</v>
      </c>
      <c r="L209" s="224">
        <f t="shared" si="55"/>
        <v>0</v>
      </c>
      <c r="M209" s="114">
        <f>IFERROR(IF('Payroll 2020'!C209='Payroll 2020'!$A$3,IF('Income Statement 2020'!$F$22&gt;0,'Income Statement 2020'!$F$22*0.1*('Payroll 2020'!G209/SUMIF($C$173:$C$211,$A$3,$G$173:$G$211)),0),0),0)</f>
        <v>0</v>
      </c>
      <c r="N209" s="224">
        <f t="shared" si="56"/>
        <v>0</v>
      </c>
    </row>
    <row r="210" spans="1:14" outlineLevel="1" x14ac:dyDescent="0.25">
      <c r="A210" s="18"/>
      <c r="B210" s="63">
        <v>38</v>
      </c>
      <c r="E210" s="124"/>
      <c r="F210" s="45">
        <f t="shared" si="48"/>
        <v>0</v>
      </c>
      <c r="G210" s="303">
        <f t="shared" si="52"/>
        <v>0</v>
      </c>
      <c r="H210" s="114">
        <f t="shared" si="53"/>
        <v>0</v>
      </c>
      <c r="I210" s="114">
        <f t="shared" si="54"/>
        <v>0</v>
      </c>
      <c r="J210" s="114">
        <f t="shared" si="49"/>
        <v>0</v>
      </c>
      <c r="K210" s="114">
        <f t="shared" si="50"/>
        <v>0</v>
      </c>
      <c r="L210" s="224">
        <f t="shared" si="55"/>
        <v>0</v>
      </c>
      <c r="M210" s="114">
        <f>IFERROR(IF('Payroll 2020'!C210='Payroll 2020'!$A$3,IF('Income Statement 2020'!$F$22&gt;0,'Income Statement 2020'!$F$22*0.1*('Payroll 2020'!G210/SUMIF($C$173:$C$211,$A$3,$G$173:$G$211)),0),0),0)</f>
        <v>0</v>
      </c>
      <c r="N210" s="224">
        <f t="shared" si="56"/>
        <v>0</v>
      </c>
    </row>
    <row r="211" spans="1:14" ht="17" outlineLevel="1" thickBot="1" x14ac:dyDescent="0.3">
      <c r="A211" s="19"/>
      <c r="B211" s="126">
        <v>39</v>
      </c>
      <c r="C211" s="16"/>
      <c r="D211" s="16"/>
      <c r="E211" s="310"/>
      <c r="F211" s="46">
        <f t="shared" si="48"/>
        <v>0</v>
      </c>
      <c r="G211" s="304">
        <f t="shared" si="52"/>
        <v>0</v>
      </c>
      <c r="H211" s="305">
        <f t="shared" si="53"/>
        <v>0</v>
      </c>
      <c r="I211" s="305">
        <f t="shared" si="54"/>
        <v>0</v>
      </c>
      <c r="J211" s="305">
        <f t="shared" si="49"/>
        <v>0</v>
      </c>
      <c r="K211" s="305">
        <f t="shared" si="50"/>
        <v>0</v>
      </c>
      <c r="L211" s="306">
        <f t="shared" si="55"/>
        <v>0</v>
      </c>
      <c r="M211" s="305">
        <f>IFERROR(IF('Payroll 2020'!C211='Payroll 2020'!$A$3,IF('Income Statement 2020'!$F$22&gt;0,'Income Statement 2020'!$F$22*0.1*('Payroll 2020'!G211/SUMIF($C$173:$C$211,$A$3,$G$173:$G$211)),0),0),0)</f>
        <v>0</v>
      </c>
      <c r="N211" s="306">
        <f t="shared" si="56"/>
        <v>0</v>
      </c>
    </row>
    <row r="212" spans="1:14" outlineLevel="1" x14ac:dyDescent="0.25">
      <c r="A212" s="2" t="s">
        <v>19</v>
      </c>
      <c r="B212" s="2"/>
      <c r="C212" s="2"/>
      <c r="D212" s="2"/>
      <c r="E212" s="313">
        <f>AVERAGE(E173:E211)</f>
        <v>31.666666666666668</v>
      </c>
      <c r="F212" s="99">
        <f>IFERROR(SUM(F173:F211),"")</f>
        <v>1408</v>
      </c>
      <c r="G212" s="224">
        <f t="shared" ref="G212:N212" si="57">IFERROR(SUM(G173:G211),"")</f>
        <v>46992</v>
      </c>
      <c r="H212" s="224">
        <f t="shared" si="57"/>
        <v>3759.3600000000015</v>
      </c>
      <c r="I212" s="224">
        <f t="shared" si="57"/>
        <v>2255.6160000000004</v>
      </c>
      <c r="J212" s="224">
        <f t="shared" si="57"/>
        <v>3759.3600000000015</v>
      </c>
      <c r="K212" s="224">
        <f t="shared" si="57"/>
        <v>0</v>
      </c>
      <c r="L212" s="224">
        <f t="shared" si="57"/>
        <v>37217.664000000004</v>
      </c>
      <c r="M212" s="224">
        <f t="shared" si="57"/>
        <v>0</v>
      </c>
      <c r="N212" s="224">
        <f t="shared" si="57"/>
        <v>37217.664000000004</v>
      </c>
    </row>
    <row r="213" spans="1:14" outlineLevel="1" x14ac:dyDescent="0.25"/>
    <row r="215" spans="1:14" x14ac:dyDescent="0.25">
      <c r="A215" s="2" t="s">
        <v>0</v>
      </c>
      <c r="B215" s="1" t="s">
        <v>17</v>
      </c>
      <c r="C215" s="20">
        <v>43952</v>
      </c>
      <c r="D215" s="1" t="s">
        <v>18</v>
      </c>
      <c r="E215" s="20">
        <v>43982</v>
      </c>
      <c r="F215" s="1" t="s">
        <v>42</v>
      </c>
      <c r="G215" s="1">
        <f>NETWORKDAYS(C215,E215)</f>
        <v>21</v>
      </c>
    </row>
    <row r="216" spans="1:14" ht="68" customHeight="1" outlineLevel="1" x14ac:dyDescent="0.25">
      <c r="A216" s="11" t="s">
        <v>2</v>
      </c>
      <c r="B216" s="10" t="s">
        <v>12</v>
      </c>
      <c r="C216" s="10" t="s">
        <v>1</v>
      </c>
      <c r="D216" s="10" t="s">
        <v>483</v>
      </c>
      <c r="E216" s="10" t="s">
        <v>13</v>
      </c>
      <c r="F216" s="10" t="s">
        <v>15</v>
      </c>
      <c r="G216" s="10" t="str">
        <f>G171</f>
        <v>Monthly Wage including all charges</v>
      </c>
      <c r="H216" s="10" t="str">
        <f t="shared" ref="H216:J216" si="58">H171</f>
        <v>URSSAF</v>
      </c>
      <c r="I216" s="10" t="str">
        <f t="shared" si="58"/>
        <v>Impot à la source</v>
      </c>
      <c r="J216" s="10" t="str">
        <f t="shared" si="58"/>
        <v>Employee Pension</v>
      </c>
      <c r="K216" s="10"/>
      <c r="L216" s="10" t="s">
        <v>14</v>
      </c>
      <c r="M216" s="10" t="s">
        <v>11</v>
      </c>
      <c r="N216" s="10" t="s">
        <v>20</v>
      </c>
    </row>
    <row r="217" spans="1:14" ht="17" outlineLevel="1" thickBot="1" x14ac:dyDescent="0.3">
      <c r="A217" s="12"/>
      <c r="B217" s="13"/>
      <c r="C217" s="13"/>
      <c r="D217" s="13"/>
      <c r="E217" s="13"/>
      <c r="F217" s="13"/>
      <c r="G217" s="314">
        <f>H217+I217+J217</f>
        <v>0.20800000000000002</v>
      </c>
      <c r="H217" s="315">
        <f>H172</f>
        <v>8.0000000000000016E-2</v>
      </c>
      <c r="I217" s="315">
        <f t="shared" ref="I217:J217" si="59">I172</f>
        <v>4.8000000000000001E-2</v>
      </c>
      <c r="J217" s="315">
        <f t="shared" si="59"/>
        <v>8.0000000000000016E-2</v>
      </c>
      <c r="K217" s="14"/>
      <c r="L217" s="15"/>
      <c r="M217" s="14">
        <f>'Payroll 2020-2024'!$L$12</f>
        <v>0.1</v>
      </c>
      <c r="N217" s="15"/>
    </row>
    <row r="218" spans="1:14" outlineLevel="1" x14ac:dyDescent="0.25">
      <c r="A218" s="104" t="s">
        <v>178</v>
      </c>
      <c r="B218" s="63">
        <v>1</v>
      </c>
      <c r="C218" s="105" t="s">
        <v>3</v>
      </c>
      <c r="D218" s="5" t="s">
        <v>484</v>
      </c>
      <c r="E218" s="308">
        <f>E173</f>
        <v>48</v>
      </c>
      <c r="F218" s="45">
        <f t="shared" ref="F218:F256" si="60">IF(C218=$A$3,$C$3*NETWORKDAYS($C$215,$E$215),0)</f>
        <v>168</v>
      </c>
      <c r="G218" s="303">
        <f>IFERROR(E218*F218,0)</f>
        <v>8064</v>
      </c>
      <c r="H218" s="114">
        <f>IFERROR(G218*$H$37,0)</f>
        <v>645.12000000000012</v>
      </c>
      <c r="I218" s="114">
        <f>IFERROR(G218*$I$37,0)</f>
        <v>387.072</v>
      </c>
      <c r="J218" s="114">
        <f t="shared" ref="J218:J256" si="61">IF(C218=$A$3,G218*$J$37,0)</f>
        <v>645.12000000000012</v>
      </c>
      <c r="K218" s="114">
        <f t="shared" ref="K218:K256" si="62">IF(C218=$A$3,G218*$K$37,0)</f>
        <v>0</v>
      </c>
      <c r="L218" s="224">
        <f>IFERROR(G218-SUM(H218:K218),0)</f>
        <v>6386.6880000000001</v>
      </c>
      <c r="M218" s="114">
        <f>IFERROR(IF('Payroll 2020'!C218='Payroll 2020'!$A$3,IF('Income Statement 2020'!$G$22&gt;0,'Income Statement 2020'!$G$22*0.1*('Payroll 2020'!G218/SUMIF($C$218:$C$256,$A$3,$G$218:$G$256)),0),0),0)</f>
        <v>0</v>
      </c>
      <c r="N218" s="224">
        <f>IFERROR(L218+M218,0)</f>
        <v>6386.6880000000001</v>
      </c>
    </row>
    <row r="219" spans="1:14" outlineLevel="1" x14ac:dyDescent="0.25">
      <c r="A219" s="104" t="s">
        <v>179</v>
      </c>
      <c r="B219" s="63">
        <v>2</v>
      </c>
      <c r="C219" s="105" t="s">
        <v>3</v>
      </c>
      <c r="D219" s="5" t="s">
        <v>484</v>
      </c>
      <c r="E219" s="308">
        <f t="shared" ref="E219:E226" si="63">E174</f>
        <v>45</v>
      </c>
      <c r="F219" s="45">
        <f t="shared" si="60"/>
        <v>168</v>
      </c>
      <c r="G219" s="303">
        <f t="shared" ref="G219:G256" si="64">IFERROR(E219*F219,0)</f>
        <v>7560</v>
      </c>
      <c r="H219" s="114">
        <f t="shared" ref="H219:H256" si="65">IFERROR(G219*$H$37,0)</f>
        <v>604.80000000000007</v>
      </c>
      <c r="I219" s="114">
        <f t="shared" ref="I219:I256" si="66">IFERROR(G219*$I$37,0)</f>
        <v>362.88</v>
      </c>
      <c r="J219" s="114">
        <f t="shared" si="61"/>
        <v>604.80000000000007</v>
      </c>
      <c r="K219" s="114">
        <f t="shared" si="62"/>
        <v>0</v>
      </c>
      <c r="L219" s="224">
        <f t="shared" ref="L219:L256" si="67">IFERROR(G219-SUM(H219:K219),0)</f>
        <v>5987.52</v>
      </c>
      <c r="M219" s="114">
        <f>IFERROR(IF('Payroll 2020'!C219='Payroll 2020'!$A$3,IF('Income Statement 2020'!$G$22&gt;0,'Income Statement 2020'!$G$22*0.1*('Payroll 2020'!G219/SUMIF($C$218:$C$256,$A$3,$G$218:$G$256)),0),0),0)</f>
        <v>0</v>
      </c>
      <c r="N219" s="224">
        <f t="shared" ref="N219:N256" si="68">IFERROR(L219+M219,0)</f>
        <v>5987.52</v>
      </c>
    </row>
    <row r="220" spans="1:14" outlineLevel="1" x14ac:dyDescent="0.25">
      <c r="A220" s="104" t="s">
        <v>180</v>
      </c>
      <c r="B220" s="63">
        <v>3</v>
      </c>
      <c r="C220" s="105" t="s">
        <v>3</v>
      </c>
      <c r="D220" s="5" t="s">
        <v>484</v>
      </c>
      <c r="E220" s="308">
        <f t="shared" si="63"/>
        <v>37</v>
      </c>
      <c r="F220" s="45">
        <f t="shared" si="60"/>
        <v>168</v>
      </c>
      <c r="G220" s="303">
        <f t="shared" si="64"/>
        <v>6216</v>
      </c>
      <c r="H220" s="114">
        <f t="shared" si="65"/>
        <v>497.28000000000009</v>
      </c>
      <c r="I220" s="114">
        <f t="shared" si="66"/>
        <v>298.36799999999999</v>
      </c>
      <c r="J220" s="114">
        <f t="shared" si="61"/>
        <v>497.28000000000009</v>
      </c>
      <c r="K220" s="114">
        <f t="shared" si="62"/>
        <v>0</v>
      </c>
      <c r="L220" s="224">
        <f t="shared" si="67"/>
        <v>4923.0720000000001</v>
      </c>
      <c r="M220" s="114">
        <f>IFERROR(IF('Payroll 2020'!C220='Payroll 2020'!$A$3,IF('Income Statement 2020'!$G$22&gt;0,'Income Statement 2020'!$G$22*0.1*('Payroll 2020'!G220/SUMIF($C$218:$C$256,$A$3,$G$218:$G$256)),0),0),0)</f>
        <v>0</v>
      </c>
      <c r="N220" s="224">
        <f t="shared" si="68"/>
        <v>4923.0720000000001</v>
      </c>
    </row>
    <row r="221" spans="1:14" outlineLevel="1" x14ac:dyDescent="0.25">
      <c r="A221" s="104" t="s">
        <v>181</v>
      </c>
      <c r="B221" s="63">
        <v>4</v>
      </c>
      <c r="C221" s="105" t="s">
        <v>3</v>
      </c>
      <c r="D221" s="5" t="s">
        <v>485</v>
      </c>
      <c r="E221" s="308">
        <f t="shared" si="63"/>
        <v>23</v>
      </c>
      <c r="F221" s="45">
        <f t="shared" si="60"/>
        <v>168</v>
      </c>
      <c r="G221" s="303">
        <f t="shared" si="64"/>
        <v>3864</v>
      </c>
      <c r="H221" s="114">
        <f t="shared" si="65"/>
        <v>309.12000000000006</v>
      </c>
      <c r="I221" s="114">
        <f t="shared" si="66"/>
        <v>185.47200000000001</v>
      </c>
      <c r="J221" s="114">
        <f t="shared" si="61"/>
        <v>309.12000000000006</v>
      </c>
      <c r="K221" s="114">
        <f t="shared" si="62"/>
        <v>0</v>
      </c>
      <c r="L221" s="224">
        <f t="shared" si="67"/>
        <v>3060.2879999999996</v>
      </c>
      <c r="M221" s="114">
        <f>IFERROR(IF('Payroll 2020'!C221='Payroll 2020'!$A$3,IF('Income Statement 2020'!$G$22&gt;0,'Income Statement 2020'!$G$22*0.1*('Payroll 2020'!G221/SUMIF($C$218:$C$256,$A$3,$G$218:$G$256)),0),0),0)</f>
        <v>0</v>
      </c>
      <c r="N221" s="224">
        <f t="shared" si="68"/>
        <v>3060.2879999999996</v>
      </c>
    </row>
    <row r="222" spans="1:14" outlineLevel="1" x14ac:dyDescent="0.25">
      <c r="A222" s="104" t="s">
        <v>182</v>
      </c>
      <c r="B222" s="63">
        <v>5</v>
      </c>
      <c r="C222" s="105" t="s">
        <v>3</v>
      </c>
      <c r="D222" s="5" t="s">
        <v>486</v>
      </c>
      <c r="E222" s="308">
        <f t="shared" si="63"/>
        <v>40</v>
      </c>
      <c r="F222" s="45">
        <f t="shared" si="60"/>
        <v>168</v>
      </c>
      <c r="G222" s="303">
        <f t="shared" si="64"/>
        <v>6720</v>
      </c>
      <c r="H222" s="114">
        <f>IFERROR(G222*$H$37,0)</f>
        <v>537.60000000000014</v>
      </c>
      <c r="I222" s="114">
        <f t="shared" si="66"/>
        <v>322.56</v>
      </c>
      <c r="J222" s="114">
        <f t="shared" si="61"/>
        <v>537.60000000000014</v>
      </c>
      <c r="K222" s="114">
        <f t="shared" si="62"/>
        <v>0</v>
      </c>
      <c r="L222" s="224">
        <f t="shared" si="67"/>
        <v>5322.24</v>
      </c>
      <c r="M222" s="114">
        <f>IFERROR(IF('Payroll 2020'!C222='Payroll 2020'!$A$3,IF('Income Statement 2020'!$G$22&gt;0,'Income Statement 2020'!$G$22*0.1*('Payroll 2020'!G222/SUMIF($C$218:$C$256,$A$3,$G$218:$G$256)),0),0),0)</f>
        <v>0</v>
      </c>
      <c r="N222" s="224">
        <f t="shared" si="68"/>
        <v>5322.24</v>
      </c>
    </row>
    <row r="223" spans="1:14" outlineLevel="1" x14ac:dyDescent="0.25">
      <c r="A223" s="104" t="s">
        <v>183</v>
      </c>
      <c r="B223" s="63">
        <v>6</v>
      </c>
      <c r="C223" s="105" t="s">
        <v>3</v>
      </c>
      <c r="D223" s="5" t="s">
        <v>486</v>
      </c>
      <c r="E223" s="308">
        <f t="shared" si="63"/>
        <v>28</v>
      </c>
      <c r="F223" s="45">
        <f t="shared" si="60"/>
        <v>168</v>
      </c>
      <c r="G223" s="303">
        <f t="shared" si="64"/>
        <v>4704</v>
      </c>
      <c r="H223" s="114">
        <f t="shared" si="65"/>
        <v>376.32000000000005</v>
      </c>
      <c r="I223" s="114">
        <f t="shared" si="66"/>
        <v>225.792</v>
      </c>
      <c r="J223" s="114">
        <f t="shared" si="61"/>
        <v>376.32000000000005</v>
      </c>
      <c r="K223" s="114">
        <f t="shared" si="62"/>
        <v>0</v>
      </c>
      <c r="L223" s="224">
        <f t="shared" si="67"/>
        <v>3725.5679999999998</v>
      </c>
      <c r="M223" s="114">
        <f>IFERROR(IF('Payroll 2020'!C223='Payroll 2020'!$A$3,IF('Income Statement 2020'!$G$22&gt;0,'Income Statement 2020'!$G$22*0.1*('Payroll 2020'!G223/SUMIF($C$218:$C$256,$A$3,$G$218:$G$256)),0),0),0)</f>
        <v>0</v>
      </c>
      <c r="N223" s="224">
        <f t="shared" si="68"/>
        <v>3725.5679999999998</v>
      </c>
    </row>
    <row r="224" spans="1:14" outlineLevel="1" x14ac:dyDescent="0.25">
      <c r="A224" s="104" t="s">
        <v>183</v>
      </c>
      <c r="B224" s="63">
        <v>7</v>
      </c>
      <c r="C224" s="105" t="s">
        <v>3</v>
      </c>
      <c r="D224" s="5" t="s">
        <v>486</v>
      </c>
      <c r="E224" s="308">
        <f t="shared" si="63"/>
        <v>23</v>
      </c>
      <c r="F224" s="45">
        <f t="shared" si="60"/>
        <v>168</v>
      </c>
      <c r="G224" s="303">
        <f t="shared" si="64"/>
        <v>3864</v>
      </c>
      <c r="H224" s="114">
        <f t="shared" si="65"/>
        <v>309.12000000000006</v>
      </c>
      <c r="I224" s="114">
        <f t="shared" si="66"/>
        <v>185.47200000000001</v>
      </c>
      <c r="J224" s="114">
        <f t="shared" si="61"/>
        <v>309.12000000000006</v>
      </c>
      <c r="K224" s="114">
        <f t="shared" si="62"/>
        <v>0</v>
      </c>
      <c r="L224" s="224">
        <f t="shared" si="67"/>
        <v>3060.2879999999996</v>
      </c>
      <c r="M224" s="114">
        <f>IFERROR(IF('Payroll 2020'!C224='Payroll 2020'!$A$3,IF('Income Statement 2020'!$G$22&gt;0,'Income Statement 2020'!$G$22*0.1*('Payroll 2020'!G224/SUMIF($C$218:$C$256,$A$3,$G$218:$G$256)),0),0),0)</f>
        <v>0</v>
      </c>
      <c r="N224" s="224">
        <f t="shared" si="68"/>
        <v>3060.2879999999996</v>
      </c>
    </row>
    <row r="225" spans="1:14" outlineLevel="1" x14ac:dyDescent="0.25">
      <c r="A225" s="104" t="s">
        <v>183</v>
      </c>
      <c r="B225" s="63">
        <v>8</v>
      </c>
      <c r="C225" s="105" t="s">
        <v>3</v>
      </c>
      <c r="D225" s="5" t="s">
        <v>486</v>
      </c>
      <c r="E225" s="308">
        <f t="shared" si="63"/>
        <v>23</v>
      </c>
      <c r="F225" s="45">
        <f t="shared" si="60"/>
        <v>168</v>
      </c>
      <c r="G225" s="303">
        <f t="shared" si="64"/>
        <v>3864</v>
      </c>
      <c r="H225" s="114">
        <f t="shared" si="65"/>
        <v>309.12000000000006</v>
      </c>
      <c r="I225" s="114">
        <f t="shared" si="66"/>
        <v>185.47200000000001</v>
      </c>
      <c r="J225" s="114">
        <f t="shared" si="61"/>
        <v>309.12000000000006</v>
      </c>
      <c r="K225" s="114">
        <f t="shared" si="62"/>
        <v>0</v>
      </c>
      <c r="L225" s="224">
        <f t="shared" si="67"/>
        <v>3060.2879999999996</v>
      </c>
      <c r="M225" s="114">
        <f>IFERROR(IF('Payroll 2020'!C225='Payroll 2020'!$A$3,IF('Income Statement 2020'!$G$22&gt;0,'Income Statement 2020'!$G$22*0.1*('Payroll 2020'!G225/SUMIF($C$218:$C$256,$A$3,$G$218:$G$256)),0),0),0)</f>
        <v>0</v>
      </c>
      <c r="N225" s="224">
        <f t="shared" si="68"/>
        <v>3060.2879999999996</v>
      </c>
    </row>
    <row r="226" spans="1:14" outlineLevel="1" x14ac:dyDescent="0.25">
      <c r="A226" s="18" t="s">
        <v>184</v>
      </c>
      <c r="B226" s="63">
        <v>9</v>
      </c>
      <c r="C226" s="5"/>
      <c r="D226" s="5" t="s">
        <v>487</v>
      </c>
      <c r="E226" s="308">
        <f t="shared" si="63"/>
        <v>18</v>
      </c>
      <c r="F226" s="45">
        <f t="shared" si="60"/>
        <v>0</v>
      </c>
      <c r="G226" s="303">
        <f t="shared" si="64"/>
        <v>0</v>
      </c>
      <c r="H226" s="114">
        <f t="shared" si="65"/>
        <v>0</v>
      </c>
      <c r="I226" s="114">
        <f t="shared" si="66"/>
        <v>0</v>
      </c>
      <c r="J226" s="114">
        <f t="shared" si="61"/>
        <v>0</v>
      </c>
      <c r="K226" s="114">
        <f t="shared" si="62"/>
        <v>0</v>
      </c>
      <c r="L226" s="224">
        <f t="shared" si="67"/>
        <v>0</v>
      </c>
      <c r="M226" s="114">
        <f>IFERROR(IF('Payroll 2020'!C226='Payroll 2020'!$A$3,IF('Income Statement 2020'!$G$22&gt;0,'Income Statement 2020'!$G$22*0.1*('Payroll 2020'!G226/SUMIF($C$218:$C$256,$A$3,$G$218:$G$256)),0),0),0)</f>
        <v>0</v>
      </c>
      <c r="N226" s="224">
        <f t="shared" si="68"/>
        <v>0</v>
      </c>
    </row>
    <row r="227" spans="1:14" outlineLevel="1" x14ac:dyDescent="0.25">
      <c r="A227" s="17" t="s">
        <v>186</v>
      </c>
      <c r="B227" s="63">
        <v>10</v>
      </c>
      <c r="C227" s="8"/>
      <c r="D227" s="5" t="s">
        <v>486</v>
      </c>
      <c r="E227" s="308">
        <v>23</v>
      </c>
      <c r="F227" s="45">
        <f t="shared" si="60"/>
        <v>0</v>
      </c>
      <c r="G227" s="303">
        <f t="shared" si="64"/>
        <v>0</v>
      </c>
      <c r="H227" s="114">
        <f t="shared" si="65"/>
        <v>0</v>
      </c>
      <c r="I227" s="114">
        <f t="shared" si="66"/>
        <v>0</v>
      </c>
      <c r="J227" s="114">
        <f t="shared" si="61"/>
        <v>0</v>
      </c>
      <c r="K227" s="114">
        <f t="shared" si="62"/>
        <v>0</v>
      </c>
      <c r="L227" s="224">
        <f t="shared" si="67"/>
        <v>0</v>
      </c>
      <c r="M227" s="114">
        <f>IFERROR(IF('Payroll 2020'!C227='Payroll 2020'!$A$3,IF('Income Statement 2020'!$G$22&gt;0,'Income Statement 2020'!$G$22*0.1*('Payroll 2020'!G227/SUMIF($C$218:$C$256,$A$3,$G$218:$G$256)),0),0),0)</f>
        <v>0</v>
      </c>
      <c r="N227" s="224">
        <f t="shared" si="68"/>
        <v>0</v>
      </c>
    </row>
    <row r="228" spans="1:14" outlineLevel="1" x14ac:dyDescent="0.25">
      <c r="A228" s="18"/>
      <c r="B228" s="63">
        <v>11</v>
      </c>
      <c r="E228" s="124"/>
      <c r="F228" s="45">
        <f t="shared" si="60"/>
        <v>0</v>
      </c>
      <c r="G228" s="224">
        <f t="shared" si="64"/>
        <v>0</v>
      </c>
      <c r="H228" s="114">
        <f t="shared" si="65"/>
        <v>0</v>
      </c>
      <c r="I228" s="114">
        <f t="shared" si="66"/>
        <v>0</v>
      </c>
      <c r="J228" s="114">
        <f t="shared" si="61"/>
        <v>0</v>
      </c>
      <c r="K228" s="114">
        <f t="shared" si="62"/>
        <v>0</v>
      </c>
      <c r="L228" s="224">
        <f t="shared" si="67"/>
        <v>0</v>
      </c>
      <c r="M228" s="114">
        <f>IFERROR(IF('Payroll 2020'!C228='Payroll 2020'!$A$3,IF('Income Statement 2020'!$G$22&gt;0,'Income Statement 2020'!$G$22*0.1*('Payroll 2020'!G228/SUMIF($C$218:$C$256,$A$3,$G$218:$G$256)),0),0),0)</f>
        <v>0</v>
      </c>
      <c r="N228" s="224">
        <f t="shared" si="68"/>
        <v>0</v>
      </c>
    </row>
    <row r="229" spans="1:14" outlineLevel="1" x14ac:dyDescent="0.25">
      <c r="A229" s="18"/>
      <c r="B229" s="63">
        <v>12</v>
      </c>
      <c r="E229" s="124"/>
      <c r="F229" s="45">
        <f t="shared" si="60"/>
        <v>0</v>
      </c>
      <c r="G229" s="224">
        <f t="shared" si="64"/>
        <v>0</v>
      </c>
      <c r="H229" s="114">
        <f t="shared" si="65"/>
        <v>0</v>
      </c>
      <c r="I229" s="114">
        <f t="shared" si="66"/>
        <v>0</v>
      </c>
      <c r="J229" s="114">
        <f t="shared" si="61"/>
        <v>0</v>
      </c>
      <c r="K229" s="114">
        <f t="shared" si="62"/>
        <v>0</v>
      </c>
      <c r="L229" s="224">
        <f t="shared" si="67"/>
        <v>0</v>
      </c>
      <c r="M229" s="114">
        <f>IFERROR(IF('Payroll 2020'!C229='Payroll 2020'!$A$3,IF('Income Statement 2020'!$G$22&gt;0,'Income Statement 2020'!$G$22*0.1*('Payroll 2020'!G229/SUMIF($C$218:$C$256,$A$3,$G$218:$G$256)),0),0),0)</f>
        <v>0</v>
      </c>
      <c r="N229" s="224">
        <f t="shared" si="68"/>
        <v>0</v>
      </c>
    </row>
    <row r="230" spans="1:14" outlineLevel="1" x14ac:dyDescent="0.25">
      <c r="A230" s="18"/>
      <c r="B230" s="63">
        <v>13</v>
      </c>
      <c r="E230" s="124"/>
      <c r="F230" s="45">
        <f t="shared" si="60"/>
        <v>0</v>
      </c>
      <c r="G230" s="224">
        <f t="shared" si="64"/>
        <v>0</v>
      </c>
      <c r="H230" s="114">
        <f t="shared" si="65"/>
        <v>0</v>
      </c>
      <c r="I230" s="114">
        <f t="shared" si="66"/>
        <v>0</v>
      </c>
      <c r="J230" s="114">
        <f t="shared" si="61"/>
        <v>0</v>
      </c>
      <c r="K230" s="114">
        <f t="shared" si="62"/>
        <v>0</v>
      </c>
      <c r="L230" s="224">
        <f t="shared" si="67"/>
        <v>0</v>
      </c>
      <c r="M230" s="114">
        <f>IFERROR(IF('Payroll 2020'!C230='Payroll 2020'!$A$3,IF('Income Statement 2020'!$G$22&gt;0,'Income Statement 2020'!$G$22*0.1*('Payroll 2020'!G230/SUMIF($C$218:$C$256,$A$3,$G$218:$G$256)),0),0),0)</f>
        <v>0</v>
      </c>
      <c r="N230" s="224">
        <f t="shared" si="68"/>
        <v>0</v>
      </c>
    </row>
    <row r="231" spans="1:14" outlineLevel="1" x14ac:dyDescent="0.25">
      <c r="A231" s="18"/>
      <c r="B231" s="63">
        <v>14</v>
      </c>
      <c r="E231" s="124"/>
      <c r="F231" s="45">
        <f t="shared" si="60"/>
        <v>0</v>
      </c>
      <c r="G231" s="224">
        <f t="shared" si="64"/>
        <v>0</v>
      </c>
      <c r="H231" s="114">
        <f t="shared" si="65"/>
        <v>0</v>
      </c>
      <c r="I231" s="114">
        <f t="shared" si="66"/>
        <v>0</v>
      </c>
      <c r="J231" s="114">
        <f t="shared" si="61"/>
        <v>0</v>
      </c>
      <c r="K231" s="114">
        <f t="shared" si="62"/>
        <v>0</v>
      </c>
      <c r="L231" s="224">
        <f t="shared" si="67"/>
        <v>0</v>
      </c>
      <c r="M231" s="114">
        <f>IFERROR(IF('Payroll 2020'!C231='Payroll 2020'!$A$3,IF('Income Statement 2020'!$G$22&gt;0,'Income Statement 2020'!$G$22*0.1*('Payroll 2020'!G231/SUMIF($C$218:$C$256,$A$3,$G$218:$G$256)),0),0),0)</f>
        <v>0</v>
      </c>
      <c r="N231" s="224">
        <f t="shared" si="68"/>
        <v>0</v>
      </c>
    </row>
    <row r="232" spans="1:14" outlineLevel="1" x14ac:dyDescent="0.25">
      <c r="A232" s="18"/>
      <c r="B232" s="63">
        <v>15</v>
      </c>
      <c r="E232" s="124"/>
      <c r="F232" s="45">
        <f t="shared" si="60"/>
        <v>0</v>
      </c>
      <c r="G232" s="224">
        <f t="shared" si="64"/>
        <v>0</v>
      </c>
      <c r="H232" s="114">
        <f t="shared" si="65"/>
        <v>0</v>
      </c>
      <c r="I232" s="114">
        <f t="shared" si="66"/>
        <v>0</v>
      </c>
      <c r="J232" s="114">
        <f t="shared" si="61"/>
        <v>0</v>
      </c>
      <c r="K232" s="114">
        <f t="shared" si="62"/>
        <v>0</v>
      </c>
      <c r="L232" s="224">
        <f t="shared" si="67"/>
        <v>0</v>
      </c>
      <c r="M232" s="114">
        <f>IFERROR(IF('Payroll 2020'!C232='Payroll 2020'!$A$3,IF('Income Statement 2020'!$G$22&gt;0,'Income Statement 2020'!$G$22*0.1*('Payroll 2020'!G232/SUMIF($C$218:$C$256,$A$3,$G$218:$G$256)),0),0),0)</f>
        <v>0</v>
      </c>
      <c r="N232" s="224">
        <f t="shared" si="68"/>
        <v>0</v>
      </c>
    </row>
    <row r="233" spans="1:14" outlineLevel="1" x14ac:dyDescent="0.25">
      <c r="A233" s="18"/>
      <c r="B233" s="63">
        <v>16</v>
      </c>
      <c r="E233" s="124"/>
      <c r="F233" s="45">
        <f t="shared" si="60"/>
        <v>0</v>
      </c>
      <c r="G233" s="224">
        <f t="shared" si="64"/>
        <v>0</v>
      </c>
      <c r="H233" s="114">
        <f t="shared" si="65"/>
        <v>0</v>
      </c>
      <c r="I233" s="114">
        <f t="shared" si="66"/>
        <v>0</v>
      </c>
      <c r="J233" s="114">
        <f t="shared" si="61"/>
        <v>0</v>
      </c>
      <c r="K233" s="114">
        <f t="shared" si="62"/>
        <v>0</v>
      </c>
      <c r="L233" s="224">
        <f t="shared" si="67"/>
        <v>0</v>
      </c>
      <c r="M233" s="114">
        <f>IFERROR(IF('Payroll 2020'!C233='Payroll 2020'!$A$3,IF('Income Statement 2020'!$G$22&gt;0,'Income Statement 2020'!$G$22*0.1*('Payroll 2020'!G233/SUMIF($C$218:$C$256,$A$3,$G$218:$G$256)),0),0),0)</f>
        <v>0</v>
      </c>
      <c r="N233" s="224">
        <f t="shared" si="68"/>
        <v>0</v>
      </c>
    </row>
    <row r="234" spans="1:14" outlineLevel="1" x14ac:dyDescent="0.25">
      <c r="A234" s="18"/>
      <c r="B234" s="63">
        <v>17</v>
      </c>
      <c r="E234" s="124"/>
      <c r="F234" s="45">
        <f t="shared" si="60"/>
        <v>0</v>
      </c>
      <c r="G234" s="224">
        <f t="shared" si="64"/>
        <v>0</v>
      </c>
      <c r="H234" s="114">
        <f t="shared" si="65"/>
        <v>0</v>
      </c>
      <c r="I234" s="114">
        <f t="shared" si="66"/>
        <v>0</v>
      </c>
      <c r="J234" s="114">
        <f t="shared" si="61"/>
        <v>0</v>
      </c>
      <c r="K234" s="114">
        <f t="shared" si="62"/>
        <v>0</v>
      </c>
      <c r="L234" s="224">
        <f t="shared" si="67"/>
        <v>0</v>
      </c>
      <c r="M234" s="114">
        <f>IFERROR(IF('Payroll 2020'!C234='Payroll 2020'!$A$3,IF('Income Statement 2020'!$G$22&gt;0,'Income Statement 2020'!$G$22*0.1*('Payroll 2020'!G234/SUMIF($C$218:$C$256,$A$3,$G$218:$G$256)),0),0),0)</f>
        <v>0</v>
      </c>
      <c r="N234" s="224">
        <f t="shared" si="68"/>
        <v>0</v>
      </c>
    </row>
    <row r="235" spans="1:14" outlineLevel="1" x14ac:dyDescent="0.25">
      <c r="A235" s="18"/>
      <c r="B235" s="63">
        <v>18</v>
      </c>
      <c r="E235" s="124"/>
      <c r="F235" s="45">
        <f t="shared" si="60"/>
        <v>0</v>
      </c>
      <c r="G235" s="224">
        <f t="shared" si="64"/>
        <v>0</v>
      </c>
      <c r="H235" s="114">
        <f t="shared" si="65"/>
        <v>0</v>
      </c>
      <c r="I235" s="114">
        <f t="shared" si="66"/>
        <v>0</v>
      </c>
      <c r="J235" s="114">
        <f t="shared" si="61"/>
        <v>0</v>
      </c>
      <c r="K235" s="114">
        <f t="shared" si="62"/>
        <v>0</v>
      </c>
      <c r="L235" s="224">
        <f t="shared" si="67"/>
        <v>0</v>
      </c>
      <c r="M235" s="114">
        <f>IFERROR(IF('Payroll 2020'!C235='Payroll 2020'!$A$3,IF('Income Statement 2020'!$G$22&gt;0,'Income Statement 2020'!$G$22*0.1*('Payroll 2020'!G235/SUMIF($C$218:$C$256,$A$3,$G$218:$G$256)),0),0),0)</f>
        <v>0</v>
      </c>
      <c r="N235" s="224">
        <f t="shared" si="68"/>
        <v>0</v>
      </c>
    </row>
    <row r="236" spans="1:14" outlineLevel="1" x14ac:dyDescent="0.25">
      <c r="A236" s="18"/>
      <c r="B236" s="63">
        <v>19</v>
      </c>
      <c r="E236" s="124"/>
      <c r="F236" s="45">
        <f t="shared" si="60"/>
        <v>0</v>
      </c>
      <c r="G236" s="224">
        <f t="shared" si="64"/>
        <v>0</v>
      </c>
      <c r="H236" s="114">
        <f t="shared" si="65"/>
        <v>0</v>
      </c>
      <c r="I236" s="114">
        <f t="shared" si="66"/>
        <v>0</v>
      </c>
      <c r="J236" s="114">
        <f t="shared" si="61"/>
        <v>0</v>
      </c>
      <c r="K236" s="114">
        <f t="shared" si="62"/>
        <v>0</v>
      </c>
      <c r="L236" s="224">
        <f t="shared" si="67"/>
        <v>0</v>
      </c>
      <c r="M236" s="114">
        <f>IFERROR(IF('Payroll 2020'!C236='Payroll 2020'!$A$3,IF('Income Statement 2020'!$G$22&gt;0,'Income Statement 2020'!$G$22*0.1*('Payroll 2020'!G236/SUMIF($C$218:$C$256,$A$3,$G$218:$G$256)),0),0),0)</f>
        <v>0</v>
      </c>
      <c r="N236" s="224">
        <f t="shared" si="68"/>
        <v>0</v>
      </c>
    </row>
    <row r="237" spans="1:14" outlineLevel="1" x14ac:dyDescent="0.25">
      <c r="A237" s="18"/>
      <c r="B237" s="63">
        <v>20</v>
      </c>
      <c r="E237" s="124"/>
      <c r="F237" s="45">
        <f t="shared" si="60"/>
        <v>0</v>
      </c>
      <c r="G237" s="224">
        <f t="shared" si="64"/>
        <v>0</v>
      </c>
      <c r="H237" s="114">
        <f t="shared" si="65"/>
        <v>0</v>
      </c>
      <c r="I237" s="114">
        <f t="shared" si="66"/>
        <v>0</v>
      </c>
      <c r="J237" s="114">
        <f t="shared" si="61"/>
        <v>0</v>
      </c>
      <c r="K237" s="114">
        <f t="shared" si="62"/>
        <v>0</v>
      </c>
      <c r="L237" s="224">
        <f t="shared" si="67"/>
        <v>0</v>
      </c>
      <c r="M237" s="114">
        <f>IFERROR(IF('Payroll 2020'!C237='Payroll 2020'!$A$3,IF('Income Statement 2020'!$G$22&gt;0,'Income Statement 2020'!$G$22*0.1*('Payroll 2020'!G237/SUMIF($C$218:$C$256,$A$3,$G$218:$G$256)),0),0),0)</f>
        <v>0</v>
      </c>
      <c r="N237" s="224">
        <f t="shared" si="68"/>
        <v>0</v>
      </c>
    </row>
    <row r="238" spans="1:14" outlineLevel="1" x14ac:dyDescent="0.25">
      <c r="A238" s="18"/>
      <c r="B238" s="63">
        <v>21</v>
      </c>
      <c r="E238" s="124"/>
      <c r="F238" s="45">
        <f t="shared" si="60"/>
        <v>0</v>
      </c>
      <c r="G238" s="224">
        <f t="shared" si="64"/>
        <v>0</v>
      </c>
      <c r="H238" s="114">
        <f t="shared" si="65"/>
        <v>0</v>
      </c>
      <c r="I238" s="114">
        <f t="shared" si="66"/>
        <v>0</v>
      </c>
      <c r="J238" s="114">
        <f t="shared" si="61"/>
        <v>0</v>
      </c>
      <c r="K238" s="114">
        <f t="shared" si="62"/>
        <v>0</v>
      </c>
      <c r="L238" s="224">
        <f t="shared" si="67"/>
        <v>0</v>
      </c>
      <c r="M238" s="114">
        <f>IFERROR(IF('Payroll 2020'!C238='Payroll 2020'!$A$3,IF('Income Statement 2020'!$G$22&gt;0,'Income Statement 2020'!$G$22*0.1*('Payroll 2020'!G238/SUMIF($C$218:$C$256,$A$3,$G$218:$G$256)),0),0),0)</f>
        <v>0</v>
      </c>
      <c r="N238" s="224">
        <f t="shared" si="68"/>
        <v>0</v>
      </c>
    </row>
    <row r="239" spans="1:14" outlineLevel="1" x14ac:dyDescent="0.25">
      <c r="A239" s="18"/>
      <c r="B239" s="63">
        <v>22</v>
      </c>
      <c r="E239" s="124"/>
      <c r="F239" s="45">
        <f t="shared" si="60"/>
        <v>0</v>
      </c>
      <c r="G239" s="224">
        <f t="shared" si="64"/>
        <v>0</v>
      </c>
      <c r="H239" s="114">
        <f t="shared" si="65"/>
        <v>0</v>
      </c>
      <c r="I239" s="114">
        <f t="shared" si="66"/>
        <v>0</v>
      </c>
      <c r="J239" s="114">
        <f t="shared" si="61"/>
        <v>0</v>
      </c>
      <c r="K239" s="114">
        <f t="shared" si="62"/>
        <v>0</v>
      </c>
      <c r="L239" s="224">
        <f t="shared" si="67"/>
        <v>0</v>
      </c>
      <c r="M239" s="114">
        <f>IFERROR(IF('Payroll 2020'!C239='Payroll 2020'!$A$3,IF('Income Statement 2020'!$G$22&gt;0,'Income Statement 2020'!$G$22*0.1*('Payroll 2020'!G239/SUMIF($C$218:$C$256,$A$3,$G$218:$G$256)),0),0),0)</f>
        <v>0</v>
      </c>
      <c r="N239" s="224">
        <f t="shared" si="68"/>
        <v>0</v>
      </c>
    </row>
    <row r="240" spans="1:14" outlineLevel="1" x14ac:dyDescent="0.25">
      <c r="A240" s="18"/>
      <c r="B240" s="63">
        <v>23</v>
      </c>
      <c r="E240" s="124"/>
      <c r="F240" s="45">
        <f t="shared" si="60"/>
        <v>0</v>
      </c>
      <c r="G240" s="224">
        <f t="shared" si="64"/>
        <v>0</v>
      </c>
      <c r="H240" s="114">
        <f t="shared" si="65"/>
        <v>0</v>
      </c>
      <c r="I240" s="114">
        <f t="shared" si="66"/>
        <v>0</v>
      </c>
      <c r="J240" s="114">
        <f t="shared" si="61"/>
        <v>0</v>
      </c>
      <c r="K240" s="114">
        <f t="shared" si="62"/>
        <v>0</v>
      </c>
      <c r="L240" s="224">
        <f t="shared" si="67"/>
        <v>0</v>
      </c>
      <c r="M240" s="114">
        <f>IFERROR(IF('Payroll 2020'!C240='Payroll 2020'!$A$3,IF('Income Statement 2020'!$G$22&gt;0,'Income Statement 2020'!$G$22*0.1*('Payroll 2020'!G240/SUMIF($C$218:$C$256,$A$3,$G$218:$G$256)),0),0),0)</f>
        <v>0</v>
      </c>
      <c r="N240" s="224">
        <f t="shared" si="68"/>
        <v>0</v>
      </c>
    </row>
    <row r="241" spans="1:14" outlineLevel="1" x14ac:dyDescent="0.25">
      <c r="A241" s="18"/>
      <c r="B241" s="63">
        <v>24</v>
      </c>
      <c r="E241" s="124"/>
      <c r="F241" s="45">
        <f t="shared" si="60"/>
        <v>0</v>
      </c>
      <c r="G241" s="224">
        <f t="shared" si="64"/>
        <v>0</v>
      </c>
      <c r="H241" s="114">
        <f t="shared" si="65"/>
        <v>0</v>
      </c>
      <c r="I241" s="114">
        <f t="shared" si="66"/>
        <v>0</v>
      </c>
      <c r="J241" s="114">
        <f t="shared" si="61"/>
        <v>0</v>
      </c>
      <c r="K241" s="114">
        <f t="shared" si="62"/>
        <v>0</v>
      </c>
      <c r="L241" s="224">
        <f t="shared" si="67"/>
        <v>0</v>
      </c>
      <c r="M241" s="114">
        <f>IFERROR(IF('Payroll 2020'!C241='Payroll 2020'!$A$3,IF('Income Statement 2020'!$G$22&gt;0,'Income Statement 2020'!$G$22*0.1*('Payroll 2020'!G241/SUMIF($C$218:$C$256,$A$3,$G$218:$G$256)),0),0),0)</f>
        <v>0</v>
      </c>
      <c r="N241" s="224">
        <f t="shared" si="68"/>
        <v>0</v>
      </c>
    </row>
    <row r="242" spans="1:14" outlineLevel="1" x14ac:dyDescent="0.25">
      <c r="A242" s="18"/>
      <c r="B242" s="63">
        <v>25</v>
      </c>
      <c r="E242" s="124"/>
      <c r="F242" s="45">
        <f t="shared" si="60"/>
        <v>0</v>
      </c>
      <c r="G242" s="224">
        <f t="shared" si="64"/>
        <v>0</v>
      </c>
      <c r="H242" s="114">
        <f t="shared" si="65"/>
        <v>0</v>
      </c>
      <c r="I242" s="114">
        <f t="shared" si="66"/>
        <v>0</v>
      </c>
      <c r="J242" s="114">
        <f t="shared" si="61"/>
        <v>0</v>
      </c>
      <c r="K242" s="114">
        <f t="shared" si="62"/>
        <v>0</v>
      </c>
      <c r="L242" s="224">
        <f t="shared" si="67"/>
        <v>0</v>
      </c>
      <c r="M242" s="114">
        <f>IFERROR(IF('Payroll 2020'!C242='Payroll 2020'!$A$3,IF('Income Statement 2020'!$G$22&gt;0,'Income Statement 2020'!$G$22*0.1*('Payroll 2020'!G242/SUMIF($C$218:$C$256,$A$3,$G$218:$G$256)),0),0),0)</f>
        <v>0</v>
      </c>
      <c r="N242" s="224">
        <f t="shared" si="68"/>
        <v>0</v>
      </c>
    </row>
    <row r="243" spans="1:14" outlineLevel="1" x14ac:dyDescent="0.25">
      <c r="A243" s="18"/>
      <c r="B243" s="63">
        <v>26</v>
      </c>
      <c r="E243" s="124"/>
      <c r="F243" s="45">
        <f t="shared" si="60"/>
        <v>0</v>
      </c>
      <c r="G243" s="224">
        <f t="shared" si="64"/>
        <v>0</v>
      </c>
      <c r="H243" s="114">
        <f t="shared" si="65"/>
        <v>0</v>
      </c>
      <c r="I243" s="114">
        <f t="shared" si="66"/>
        <v>0</v>
      </c>
      <c r="J243" s="114">
        <f t="shared" si="61"/>
        <v>0</v>
      </c>
      <c r="K243" s="114">
        <f t="shared" si="62"/>
        <v>0</v>
      </c>
      <c r="L243" s="224">
        <f t="shared" si="67"/>
        <v>0</v>
      </c>
      <c r="M243" s="114">
        <f>IFERROR(IF('Payroll 2020'!C243='Payroll 2020'!$A$3,IF('Income Statement 2020'!$G$22&gt;0,'Income Statement 2020'!$G$22*0.1*('Payroll 2020'!G243/SUMIF($C$218:$C$256,$A$3,$G$218:$G$256)),0),0),0)</f>
        <v>0</v>
      </c>
      <c r="N243" s="224">
        <f t="shared" si="68"/>
        <v>0</v>
      </c>
    </row>
    <row r="244" spans="1:14" outlineLevel="1" x14ac:dyDescent="0.25">
      <c r="A244" s="18"/>
      <c r="B244" s="63">
        <v>27</v>
      </c>
      <c r="E244" s="124"/>
      <c r="F244" s="45">
        <f t="shared" si="60"/>
        <v>0</v>
      </c>
      <c r="G244" s="224">
        <f t="shared" si="64"/>
        <v>0</v>
      </c>
      <c r="H244" s="114">
        <f t="shared" si="65"/>
        <v>0</v>
      </c>
      <c r="I244" s="114">
        <f t="shared" si="66"/>
        <v>0</v>
      </c>
      <c r="J244" s="114">
        <f t="shared" si="61"/>
        <v>0</v>
      </c>
      <c r="K244" s="114">
        <f t="shared" si="62"/>
        <v>0</v>
      </c>
      <c r="L244" s="224">
        <f t="shared" si="67"/>
        <v>0</v>
      </c>
      <c r="M244" s="114">
        <f>IFERROR(IF('Payroll 2020'!C244='Payroll 2020'!$A$3,IF('Income Statement 2020'!$G$22&gt;0,'Income Statement 2020'!$G$22*0.1*('Payroll 2020'!G244/SUMIF($C$218:$C$256,$A$3,$G$218:$G$256)),0),0),0)</f>
        <v>0</v>
      </c>
      <c r="N244" s="224">
        <f t="shared" si="68"/>
        <v>0</v>
      </c>
    </row>
    <row r="245" spans="1:14" outlineLevel="1" x14ac:dyDescent="0.25">
      <c r="A245" s="18"/>
      <c r="B245" s="63">
        <v>28</v>
      </c>
      <c r="E245" s="124"/>
      <c r="F245" s="45">
        <f t="shared" si="60"/>
        <v>0</v>
      </c>
      <c r="G245" s="224">
        <f t="shared" si="64"/>
        <v>0</v>
      </c>
      <c r="H245" s="114">
        <f t="shared" si="65"/>
        <v>0</v>
      </c>
      <c r="I245" s="114">
        <f t="shared" si="66"/>
        <v>0</v>
      </c>
      <c r="J245" s="114">
        <f t="shared" si="61"/>
        <v>0</v>
      </c>
      <c r="K245" s="114">
        <f t="shared" si="62"/>
        <v>0</v>
      </c>
      <c r="L245" s="224">
        <f t="shared" si="67"/>
        <v>0</v>
      </c>
      <c r="M245" s="114">
        <f>IFERROR(IF('Payroll 2020'!C245='Payroll 2020'!$A$3,IF('Income Statement 2020'!$G$22&gt;0,'Income Statement 2020'!$G$22*0.1*('Payroll 2020'!G245/SUMIF($C$218:$C$256,$A$3,$G$218:$G$256)),0),0),0)</f>
        <v>0</v>
      </c>
      <c r="N245" s="224">
        <f t="shared" si="68"/>
        <v>0</v>
      </c>
    </row>
    <row r="246" spans="1:14" outlineLevel="1" x14ac:dyDescent="0.25">
      <c r="A246" s="18"/>
      <c r="B246" s="63">
        <v>29</v>
      </c>
      <c r="E246" s="124"/>
      <c r="F246" s="45">
        <f t="shared" si="60"/>
        <v>0</v>
      </c>
      <c r="G246" s="224">
        <f t="shared" si="64"/>
        <v>0</v>
      </c>
      <c r="H246" s="114">
        <f t="shared" si="65"/>
        <v>0</v>
      </c>
      <c r="I246" s="114">
        <f t="shared" si="66"/>
        <v>0</v>
      </c>
      <c r="J246" s="114">
        <f t="shared" si="61"/>
        <v>0</v>
      </c>
      <c r="K246" s="114">
        <f t="shared" si="62"/>
        <v>0</v>
      </c>
      <c r="L246" s="224">
        <f t="shared" si="67"/>
        <v>0</v>
      </c>
      <c r="M246" s="114">
        <f>IFERROR(IF('Payroll 2020'!C246='Payroll 2020'!$A$3,IF('Income Statement 2020'!$G$22&gt;0,'Income Statement 2020'!$G$22*0.1*('Payroll 2020'!G246/SUMIF($C$218:$C$256,$A$3,$G$218:$G$256)),0),0),0)</f>
        <v>0</v>
      </c>
      <c r="N246" s="224">
        <f t="shared" si="68"/>
        <v>0</v>
      </c>
    </row>
    <row r="247" spans="1:14" outlineLevel="1" x14ac:dyDescent="0.25">
      <c r="A247" s="18"/>
      <c r="B247" s="63">
        <v>30</v>
      </c>
      <c r="E247" s="124"/>
      <c r="F247" s="45">
        <f t="shared" si="60"/>
        <v>0</v>
      </c>
      <c r="G247" s="224">
        <f t="shared" si="64"/>
        <v>0</v>
      </c>
      <c r="H247" s="114">
        <f t="shared" si="65"/>
        <v>0</v>
      </c>
      <c r="I247" s="114">
        <f t="shared" si="66"/>
        <v>0</v>
      </c>
      <c r="J247" s="114">
        <f t="shared" si="61"/>
        <v>0</v>
      </c>
      <c r="K247" s="114">
        <f t="shared" si="62"/>
        <v>0</v>
      </c>
      <c r="L247" s="224">
        <f t="shared" si="67"/>
        <v>0</v>
      </c>
      <c r="M247" s="114">
        <f>IFERROR(IF('Payroll 2020'!C247='Payroll 2020'!$A$3,IF('Income Statement 2020'!$G$22&gt;0,'Income Statement 2020'!$G$22*0.1*('Payroll 2020'!G247/SUMIF($C$218:$C$256,$A$3,$G$218:$G$256)),0),0),0)</f>
        <v>0</v>
      </c>
      <c r="N247" s="224">
        <f t="shared" si="68"/>
        <v>0</v>
      </c>
    </row>
    <row r="248" spans="1:14" outlineLevel="1" x14ac:dyDescent="0.25">
      <c r="A248" s="18"/>
      <c r="B248" s="63">
        <v>31</v>
      </c>
      <c r="E248" s="124"/>
      <c r="F248" s="45">
        <f t="shared" si="60"/>
        <v>0</v>
      </c>
      <c r="G248" s="224">
        <f t="shared" si="64"/>
        <v>0</v>
      </c>
      <c r="H248" s="114">
        <f t="shared" si="65"/>
        <v>0</v>
      </c>
      <c r="I248" s="114">
        <f t="shared" si="66"/>
        <v>0</v>
      </c>
      <c r="J248" s="114">
        <f t="shared" si="61"/>
        <v>0</v>
      </c>
      <c r="K248" s="114">
        <f t="shared" si="62"/>
        <v>0</v>
      </c>
      <c r="L248" s="224">
        <f t="shared" si="67"/>
        <v>0</v>
      </c>
      <c r="M248" s="114">
        <f>IFERROR(IF('Payroll 2020'!C248='Payroll 2020'!$A$3,IF('Income Statement 2020'!$G$22&gt;0,'Income Statement 2020'!$G$22*0.1*('Payroll 2020'!G248/SUMIF($C$218:$C$256,$A$3,$G$218:$G$256)),0),0),0)</f>
        <v>0</v>
      </c>
      <c r="N248" s="224">
        <f t="shared" si="68"/>
        <v>0</v>
      </c>
    </row>
    <row r="249" spans="1:14" outlineLevel="1" x14ac:dyDescent="0.25">
      <c r="A249" s="18"/>
      <c r="B249" s="63">
        <v>32</v>
      </c>
      <c r="E249" s="124"/>
      <c r="F249" s="45">
        <f t="shared" si="60"/>
        <v>0</v>
      </c>
      <c r="G249" s="224">
        <f t="shared" si="64"/>
        <v>0</v>
      </c>
      <c r="H249" s="114">
        <f t="shared" si="65"/>
        <v>0</v>
      </c>
      <c r="I249" s="114">
        <f t="shared" si="66"/>
        <v>0</v>
      </c>
      <c r="J249" s="114">
        <f t="shared" si="61"/>
        <v>0</v>
      </c>
      <c r="K249" s="114">
        <f t="shared" si="62"/>
        <v>0</v>
      </c>
      <c r="L249" s="224">
        <f t="shared" si="67"/>
        <v>0</v>
      </c>
      <c r="M249" s="114">
        <f>IFERROR(IF('Payroll 2020'!C249='Payroll 2020'!$A$3,IF('Income Statement 2020'!$G$22&gt;0,'Income Statement 2020'!$G$22*0.1*('Payroll 2020'!G249/SUMIF($C$218:$C$256,$A$3,$G$218:$G$256)),0),0),0)</f>
        <v>0</v>
      </c>
      <c r="N249" s="224">
        <f t="shared" si="68"/>
        <v>0</v>
      </c>
    </row>
    <row r="250" spans="1:14" outlineLevel="1" x14ac:dyDescent="0.25">
      <c r="A250" s="18"/>
      <c r="B250" s="63">
        <v>33</v>
      </c>
      <c r="E250" s="124"/>
      <c r="F250" s="45">
        <f t="shared" si="60"/>
        <v>0</v>
      </c>
      <c r="G250" s="224">
        <f t="shared" si="64"/>
        <v>0</v>
      </c>
      <c r="H250" s="114">
        <f t="shared" si="65"/>
        <v>0</v>
      </c>
      <c r="I250" s="114">
        <f t="shared" si="66"/>
        <v>0</v>
      </c>
      <c r="J250" s="114">
        <f t="shared" si="61"/>
        <v>0</v>
      </c>
      <c r="K250" s="114">
        <f t="shared" si="62"/>
        <v>0</v>
      </c>
      <c r="L250" s="224">
        <f t="shared" si="67"/>
        <v>0</v>
      </c>
      <c r="M250" s="114">
        <f>IFERROR(IF('Payroll 2020'!C250='Payroll 2020'!$A$3,IF('Income Statement 2020'!$G$22&gt;0,'Income Statement 2020'!$G$22*0.1*('Payroll 2020'!G250/SUMIF($C$218:$C$256,$A$3,$G$218:$G$256)),0),0),0)</f>
        <v>0</v>
      </c>
      <c r="N250" s="224">
        <f t="shared" si="68"/>
        <v>0</v>
      </c>
    </row>
    <row r="251" spans="1:14" outlineLevel="1" x14ac:dyDescent="0.25">
      <c r="A251" s="18"/>
      <c r="B251" s="63">
        <v>34</v>
      </c>
      <c r="E251" s="124"/>
      <c r="F251" s="45">
        <f t="shared" si="60"/>
        <v>0</v>
      </c>
      <c r="G251" s="224">
        <f t="shared" si="64"/>
        <v>0</v>
      </c>
      <c r="H251" s="114">
        <f t="shared" si="65"/>
        <v>0</v>
      </c>
      <c r="I251" s="114">
        <f t="shared" si="66"/>
        <v>0</v>
      </c>
      <c r="J251" s="114">
        <f t="shared" si="61"/>
        <v>0</v>
      </c>
      <c r="K251" s="114">
        <f t="shared" si="62"/>
        <v>0</v>
      </c>
      <c r="L251" s="224">
        <f t="shared" si="67"/>
        <v>0</v>
      </c>
      <c r="M251" s="114">
        <f>IFERROR(IF('Payroll 2020'!C251='Payroll 2020'!$A$3,IF('Income Statement 2020'!$G$22&gt;0,'Income Statement 2020'!$G$22*0.1*('Payroll 2020'!G251/SUMIF($C$218:$C$256,$A$3,$G$218:$G$256)),0),0),0)</f>
        <v>0</v>
      </c>
      <c r="N251" s="224">
        <f t="shared" si="68"/>
        <v>0</v>
      </c>
    </row>
    <row r="252" spans="1:14" outlineLevel="1" x14ac:dyDescent="0.25">
      <c r="A252" s="18"/>
      <c r="B252" s="63">
        <v>35</v>
      </c>
      <c r="E252" s="124"/>
      <c r="F252" s="45">
        <f t="shared" si="60"/>
        <v>0</v>
      </c>
      <c r="G252" s="224">
        <f t="shared" si="64"/>
        <v>0</v>
      </c>
      <c r="H252" s="114">
        <f t="shared" si="65"/>
        <v>0</v>
      </c>
      <c r="I252" s="114">
        <f t="shared" si="66"/>
        <v>0</v>
      </c>
      <c r="J252" s="114">
        <f t="shared" si="61"/>
        <v>0</v>
      </c>
      <c r="K252" s="114">
        <f t="shared" si="62"/>
        <v>0</v>
      </c>
      <c r="L252" s="224">
        <f t="shared" si="67"/>
        <v>0</v>
      </c>
      <c r="M252" s="114">
        <f>IFERROR(IF('Payroll 2020'!C252='Payroll 2020'!$A$3,IF('Income Statement 2020'!$G$22&gt;0,'Income Statement 2020'!$G$22*0.1*('Payroll 2020'!G252/SUMIF($C$218:$C$256,$A$3,$G$218:$G$256)),0),0),0)</f>
        <v>0</v>
      </c>
      <c r="N252" s="224">
        <f t="shared" si="68"/>
        <v>0</v>
      </c>
    </row>
    <row r="253" spans="1:14" outlineLevel="1" x14ac:dyDescent="0.25">
      <c r="A253" s="18"/>
      <c r="B253" s="63">
        <v>36</v>
      </c>
      <c r="E253" s="124"/>
      <c r="F253" s="45">
        <f t="shared" si="60"/>
        <v>0</v>
      </c>
      <c r="G253" s="224">
        <f t="shared" si="64"/>
        <v>0</v>
      </c>
      <c r="H253" s="114">
        <f t="shared" si="65"/>
        <v>0</v>
      </c>
      <c r="I253" s="114">
        <f t="shared" si="66"/>
        <v>0</v>
      </c>
      <c r="J253" s="114">
        <f t="shared" si="61"/>
        <v>0</v>
      </c>
      <c r="K253" s="114">
        <f t="shared" si="62"/>
        <v>0</v>
      </c>
      <c r="L253" s="224">
        <f t="shared" si="67"/>
        <v>0</v>
      </c>
      <c r="M253" s="114">
        <f>IFERROR(IF('Payroll 2020'!C253='Payroll 2020'!$A$3,IF('Income Statement 2020'!$G$22&gt;0,'Income Statement 2020'!$G$22*0.1*('Payroll 2020'!G253/SUMIF($C$218:$C$256,$A$3,$G$218:$G$256)),0),0),0)</f>
        <v>0</v>
      </c>
      <c r="N253" s="224">
        <f t="shared" si="68"/>
        <v>0</v>
      </c>
    </row>
    <row r="254" spans="1:14" outlineLevel="1" x14ac:dyDescent="0.25">
      <c r="A254" s="18"/>
      <c r="B254" s="63">
        <v>37</v>
      </c>
      <c r="E254" s="124"/>
      <c r="F254" s="45">
        <f t="shared" si="60"/>
        <v>0</v>
      </c>
      <c r="G254" s="224">
        <f t="shared" si="64"/>
        <v>0</v>
      </c>
      <c r="H254" s="114">
        <f t="shared" si="65"/>
        <v>0</v>
      </c>
      <c r="I254" s="114">
        <f t="shared" si="66"/>
        <v>0</v>
      </c>
      <c r="J254" s="114">
        <f t="shared" si="61"/>
        <v>0</v>
      </c>
      <c r="K254" s="114">
        <f t="shared" si="62"/>
        <v>0</v>
      </c>
      <c r="L254" s="224">
        <f t="shared" si="67"/>
        <v>0</v>
      </c>
      <c r="M254" s="114">
        <f>IFERROR(IF('Payroll 2020'!C254='Payroll 2020'!$A$3,IF('Income Statement 2020'!$G$22&gt;0,'Income Statement 2020'!$G$22*0.1*('Payroll 2020'!G254/SUMIF($C$218:$C$256,$A$3,$G$218:$G$256)),0),0),0)</f>
        <v>0</v>
      </c>
      <c r="N254" s="224">
        <f t="shared" si="68"/>
        <v>0</v>
      </c>
    </row>
    <row r="255" spans="1:14" outlineLevel="1" x14ac:dyDescent="0.25">
      <c r="A255" s="18"/>
      <c r="B255" s="63">
        <v>38</v>
      </c>
      <c r="E255" s="124"/>
      <c r="F255" s="45">
        <f t="shared" si="60"/>
        <v>0</v>
      </c>
      <c r="G255" s="224">
        <f t="shared" si="64"/>
        <v>0</v>
      </c>
      <c r="H255" s="114">
        <f t="shared" si="65"/>
        <v>0</v>
      </c>
      <c r="I255" s="114">
        <f t="shared" si="66"/>
        <v>0</v>
      </c>
      <c r="J255" s="114">
        <f t="shared" si="61"/>
        <v>0</v>
      </c>
      <c r="K255" s="114">
        <f t="shared" si="62"/>
        <v>0</v>
      </c>
      <c r="L255" s="224">
        <f t="shared" si="67"/>
        <v>0</v>
      </c>
      <c r="M255" s="114">
        <f>IFERROR(IF('Payroll 2020'!C255='Payroll 2020'!$A$3,IF('Income Statement 2020'!$G$22&gt;0,'Income Statement 2020'!$G$22*0.1*('Payroll 2020'!G255/SUMIF($C$218:$C$256,$A$3,$G$218:$G$256)),0),0),0)</f>
        <v>0</v>
      </c>
      <c r="N255" s="224">
        <f t="shared" si="68"/>
        <v>0</v>
      </c>
    </row>
    <row r="256" spans="1:14" ht="17" outlineLevel="1" thickBot="1" x14ac:dyDescent="0.3">
      <c r="A256" s="19"/>
      <c r="B256" s="126">
        <v>39</v>
      </c>
      <c r="C256" s="16"/>
      <c r="D256" s="16"/>
      <c r="E256" s="310"/>
      <c r="F256" s="46">
        <f t="shared" si="60"/>
        <v>0</v>
      </c>
      <c r="G256" s="306">
        <f t="shared" si="64"/>
        <v>0</v>
      </c>
      <c r="H256" s="305">
        <f t="shared" si="65"/>
        <v>0</v>
      </c>
      <c r="I256" s="305">
        <f t="shared" si="66"/>
        <v>0</v>
      </c>
      <c r="J256" s="305">
        <f t="shared" si="61"/>
        <v>0</v>
      </c>
      <c r="K256" s="305">
        <f t="shared" si="62"/>
        <v>0</v>
      </c>
      <c r="L256" s="306">
        <f t="shared" si="67"/>
        <v>0</v>
      </c>
      <c r="M256" s="305">
        <f>IFERROR(IF('Payroll 2020'!C256='Payroll 2020'!$A$3,IF('Income Statement 2020'!$G$22&gt;0,'Income Statement 2020'!$G$22*0.1*('Payroll 2020'!G256/SUMIF($C$218:$C$256,$A$3,$G$218:$G$256)),0),0),0)</f>
        <v>0</v>
      </c>
      <c r="N256" s="306">
        <f t="shared" si="68"/>
        <v>0</v>
      </c>
    </row>
    <row r="257" spans="1:14" outlineLevel="1" x14ac:dyDescent="0.25">
      <c r="A257" s="2" t="s">
        <v>19</v>
      </c>
      <c r="B257" s="2"/>
      <c r="C257" s="2"/>
      <c r="D257" s="2"/>
      <c r="E257" s="313">
        <f>AVERAGE(E218:E256)</f>
        <v>30.8</v>
      </c>
      <c r="F257" s="39">
        <f>IFERROR(SUM(F218:F256),"")</f>
        <v>1344</v>
      </c>
      <c r="G257" s="224">
        <f t="shared" ref="G257:N257" si="69">IFERROR(SUM(G218:G256),"")</f>
        <v>44856</v>
      </c>
      <c r="H257" s="224">
        <f t="shared" si="69"/>
        <v>3588.48</v>
      </c>
      <c r="I257" s="224">
        <f t="shared" si="69"/>
        <v>2153.0879999999997</v>
      </c>
      <c r="J257" s="224">
        <f t="shared" si="69"/>
        <v>3588.48</v>
      </c>
      <c r="K257" s="224">
        <f t="shared" si="69"/>
        <v>0</v>
      </c>
      <c r="L257" s="224">
        <f t="shared" si="69"/>
        <v>35525.951999999997</v>
      </c>
      <c r="M257" s="224">
        <f t="shared" si="69"/>
        <v>0</v>
      </c>
      <c r="N257" s="224">
        <f t="shared" si="69"/>
        <v>35525.951999999997</v>
      </c>
    </row>
    <row r="258" spans="1:14" outlineLevel="1" x14ac:dyDescent="0.25"/>
    <row r="260" spans="1:14" x14ac:dyDescent="0.25">
      <c r="A260" s="2" t="s">
        <v>25</v>
      </c>
      <c r="B260" s="1" t="s">
        <v>17</v>
      </c>
      <c r="C260" s="20">
        <v>43983</v>
      </c>
      <c r="D260" s="1" t="s">
        <v>18</v>
      </c>
      <c r="E260" s="20">
        <v>44012</v>
      </c>
      <c r="F260" s="1" t="s">
        <v>42</v>
      </c>
      <c r="G260" s="1">
        <f>NETWORKDAYS(C260,E260)</f>
        <v>22</v>
      </c>
    </row>
    <row r="261" spans="1:14" ht="68" customHeight="1" outlineLevel="1" x14ac:dyDescent="0.25">
      <c r="A261" s="11" t="s">
        <v>2</v>
      </c>
      <c r="B261" s="10" t="s">
        <v>12</v>
      </c>
      <c r="C261" s="10" t="s">
        <v>1</v>
      </c>
      <c r="D261" s="10" t="s">
        <v>483</v>
      </c>
      <c r="E261" s="10" t="s">
        <v>13</v>
      </c>
      <c r="F261" s="10" t="s">
        <v>15</v>
      </c>
      <c r="G261" s="10" t="str">
        <f>G216</f>
        <v>Monthly Wage including all charges</v>
      </c>
      <c r="H261" s="10" t="str">
        <f t="shared" ref="H261:J261" si="70">H216</f>
        <v>URSSAF</v>
      </c>
      <c r="I261" s="10" t="str">
        <f t="shared" si="70"/>
        <v>Impot à la source</v>
      </c>
      <c r="J261" s="10" t="str">
        <f t="shared" si="70"/>
        <v>Employee Pension</v>
      </c>
      <c r="K261" s="10"/>
      <c r="L261" s="10" t="s">
        <v>14</v>
      </c>
      <c r="M261" s="10" t="s">
        <v>11</v>
      </c>
      <c r="N261" s="10" t="s">
        <v>20</v>
      </c>
    </row>
    <row r="262" spans="1:14" ht="17" outlineLevel="1" thickBot="1" x14ac:dyDescent="0.3">
      <c r="A262" s="12"/>
      <c r="B262" s="13"/>
      <c r="C262" s="13"/>
      <c r="D262" s="13"/>
      <c r="E262" s="13"/>
      <c r="F262" s="13"/>
      <c r="G262" s="314">
        <f>H262+I262+J262</f>
        <v>0.20800000000000002</v>
      </c>
      <c r="H262" s="315">
        <f>H217</f>
        <v>8.0000000000000016E-2</v>
      </c>
      <c r="I262" s="315">
        <f t="shared" ref="I262:J262" si="71">I217</f>
        <v>4.8000000000000001E-2</v>
      </c>
      <c r="J262" s="315">
        <f t="shared" si="71"/>
        <v>8.0000000000000016E-2</v>
      </c>
      <c r="K262" s="14"/>
      <c r="L262" s="15"/>
      <c r="M262" s="14">
        <f>'Payroll 2020-2024'!$L$12</f>
        <v>0.1</v>
      </c>
      <c r="N262" s="15"/>
    </row>
    <row r="263" spans="1:14" outlineLevel="1" x14ac:dyDescent="0.25">
      <c r="A263" s="104" t="s">
        <v>178</v>
      </c>
      <c r="B263" s="63">
        <v>1</v>
      </c>
      <c r="C263" s="105" t="s">
        <v>3</v>
      </c>
      <c r="D263" s="5" t="s">
        <v>484</v>
      </c>
      <c r="E263" s="308">
        <f>E218</f>
        <v>48</v>
      </c>
      <c r="F263" s="45">
        <f t="shared" ref="F263:F275" si="72">IF(C263=$A$3,$C$3*NETWORKDAYS($C$260,$E$260),0)</f>
        <v>176</v>
      </c>
      <c r="G263" s="303">
        <f>IFERROR(E263*F263,0)</f>
        <v>8448</v>
      </c>
      <c r="H263" s="114">
        <f>IFERROR(G263*$H$37,0)</f>
        <v>675.84000000000015</v>
      </c>
      <c r="I263" s="114">
        <f>IFERROR(G263*$I$37,0)</f>
        <v>405.50400000000002</v>
      </c>
      <c r="J263" s="114">
        <f t="shared" ref="J263:J275" si="73">IF(C263=$A$3,G263*$J$37,0)</f>
        <v>675.84000000000015</v>
      </c>
      <c r="K263" s="114">
        <f t="shared" ref="K263:K275" si="74">IF(C263=$A$3,G263*$K$37,0)</f>
        <v>0</v>
      </c>
      <c r="L263" s="224">
        <f>IFERROR(G263-SUM(H263:K263),0)</f>
        <v>6690.8159999999998</v>
      </c>
      <c r="M263" s="114">
        <f>IFERROR(IF('Payroll 2020'!C263='Payroll 2020'!$A$3,IF('Income Statement 2020'!$H$22&gt;0,'Income Statement 2020'!$H$22*0.1*('Payroll 2020'!G263/SUMIF($C$263:$C$301,$A$3,$G$263:$G$301)),0),0),0)</f>
        <v>0</v>
      </c>
      <c r="N263" s="224">
        <f>IFERROR(L263+M263,0)</f>
        <v>6690.8159999999998</v>
      </c>
    </row>
    <row r="264" spans="1:14" outlineLevel="1" x14ac:dyDescent="0.25">
      <c r="A264" s="104" t="s">
        <v>179</v>
      </c>
      <c r="B264" s="63">
        <v>2</v>
      </c>
      <c r="C264" s="105" t="s">
        <v>3</v>
      </c>
      <c r="D264" s="5" t="s">
        <v>484</v>
      </c>
      <c r="E264" s="308">
        <f t="shared" ref="E264:E272" si="75">E219</f>
        <v>45</v>
      </c>
      <c r="F264" s="45">
        <f t="shared" si="72"/>
        <v>176</v>
      </c>
      <c r="G264" s="303">
        <f t="shared" ref="G264:G301" si="76">IFERROR(E264*F264,0)</f>
        <v>7920</v>
      </c>
      <c r="H264" s="114">
        <f t="shared" ref="H264:H301" si="77">IFERROR(G264*$H$37,0)</f>
        <v>633.60000000000014</v>
      </c>
      <c r="I264" s="114">
        <f t="shared" ref="I264:I301" si="78">IFERROR(G264*$I$37,0)</f>
        <v>380.16</v>
      </c>
      <c r="J264" s="114">
        <f t="shared" si="73"/>
        <v>633.60000000000014</v>
      </c>
      <c r="K264" s="114">
        <f t="shared" si="74"/>
        <v>0</v>
      </c>
      <c r="L264" s="224">
        <f t="shared" ref="L264:L301" si="79">IFERROR(G264-SUM(H264:K264),0)</f>
        <v>6272.6399999999994</v>
      </c>
      <c r="M264" s="114">
        <f>IFERROR(IF('Payroll 2020'!C264='Payroll 2020'!$A$3,IF('Income Statement 2020'!$H$22&gt;0,'Income Statement 2020'!$H$22*0.1*('Payroll 2020'!G264/SUMIF($C$263:$C$301,$A$3,$G$263:$G$301)),0),0),0)</f>
        <v>0</v>
      </c>
      <c r="N264" s="224">
        <f t="shared" ref="N264:N301" si="80">IFERROR(L264+M264,0)</f>
        <v>6272.6399999999994</v>
      </c>
    </row>
    <row r="265" spans="1:14" outlineLevel="1" x14ac:dyDescent="0.25">
      <c r="A265" s="104" t="s">
        <v>180</v>
      </c>
      <c r="B265" s="63">
        <v>3</v>
      </c>
      <c r="C265" s="105" t="s">
        <v>3</v>
      </c>
      <c r="D265" s="5" t="s">
        <v>484</v>
      </c>
      <c r="E265" s="308">
        <f t="shared" si="75"/>
        <v>37</v>
      </c>
      <c r="F265" s="45">
        <f t="shared" si="72"/>
        <v>176</v>
      </c>
      <c r="G265" s="303">
        <f t="shared" si="76"/>
        <v>6512</v>
      </c>
      <c r="H265" s="114">
        <f t="shared" si="77"/>
        <v>520.96000000000015</v>
      </c>
      <c r="I265" s="114">
        <f t="shared" si="78"/>
        <v>312.57600000000002</v>
      </c>
      <c r="J265" s="114">
        <f t="shared" si="73"/>
        <v>520.96000000000015</v>
      </c>
      <c r="K265" s="114">
        <f t="shared" si="74"/>
        <v>0</v>
      </c>
      <c r="L265" s="224">
        <f t="shared" si="79"/>
        <v>5157.5039999999999</v>
      </c>
      <c r="M265" s="114">
        <f>IFERROR(IF('Payroll 2020'!C265='Payroll 2020'!$A$3,IF('Income Statement 2020'!$H$22&gt;0,'Income Statement 2020'!$H$22*0.1*('Payroll 2020'!G265/SUMIF($C$263:$C$301,$A$3,$G$263:$G$301)),0),0),0)</f>
        <v>0</v>
      </c>
      <c r="N265" s="224">
        <f t="shared" si="80"/>
        <v>5157.5039999999999</v>
      </c>
    </row>
    <row r="266" spans="1:14" outlineLevel="1" x14ac:dyDescent="0.25">
      <c r="A266" s="104" t="s">
        <v>181</v>
      </c>
      <c r="B266" s="63">
        <v>4</v>
      </c>
      <c r="C266" s="105" t="s">
        <v>3</v>
      </c>
      <c r="D266" s="5" t="s">
        <v>485</v>
      </c>
      <c r="E266" s="308">
        <f t="shared" si="75"/>
        <v>23</v>
      </c>
      <c r="F266" s="45">
        <f t="shared" si="72"/>
        <v>176</v>
      </c>
      <c r="G266" s="303">
        <f t="shared" si="76"/>
        <v>4048</v>
      </c>
      <c r="H266" s="114">
        <f t="shared" si="77"/>
        <v>323.84000000000009</v>
      </c>
      <c r="I266" s="114">
        <f t="shared" si="78"/>
        <v>194.304</v>
      </c>
      <c r="J266" s="114">
        <f t="shared" si="73"/>
        <v>323.84000000000009</v>
      </c>
      <c r="K266" s="114">
        <f t="shared" si="74"/>
        <v>0</v>
      </c>
      <c r="L266" s="224">
        <f t="shared" si="79"/>
        <v>3206.0159999999996</v>
      </c>
      <c r="M266" s="114">
        <f>IFERROR(IF('Payroll 2020'!C266='Payroll 2020'!$A$3,IF('Income Statement 2020'!$H$22&gt;0,'Income Statement 2020'!$H$22*0.1*('Payroll 2020'!G266/SUMIF($C$263:$C$301,$A$3,$G$263:$G$301)),0),0),0)</f>
        <v>0</v>
      </c>
      <c r="N266" s="224">
        <f t="shared" si="80"/>
        <v>3206.0159999999996</v>
      </c>
    </row>
    <row r="267" spans="1:14" outlineLevel="1" x14ac:dyDescent="0.25">
      <c r="A267" s="104" t="s">
        <v>182</v>
      </c>
      <c r="B267" s="63">
        <v>5</v>
      </c>
      <c r="C267" s="105" t="s">
        <v>3</v>
      </c>
      <c r="D267" s="5" t="s">
        <v>486</v>
      </c>
      <c r="E267" s="308">
        <f t="shared" si="75"/>
        <v>40</v>
      </c>
      <c r="F267" s="45">
        <f t="shared" si="72"/>
        <v>176</v>
      </c>
      <c r="G267" s="303">
        <f t="shared" si="76"/>
        <v>7040</v>
      </c>
      <c r="H267" s="114">
        <f t="shared" si="77"/>
        <v>563.20000000000016</v>
      </c>
      <c r="I267" s="114">
        <f t="shared" si="78"/>
        <v>337.92</v>
      </c>
      <c r="J267" s="114">
        <f t="shared" si="73"/>
        <v>563.20000000000016</v>
      </c>
      <c r="K267" s="114">
        <f t="shared" si="74"/>
        <v>0</v>
      </c>
      <c r="L267" s="224">
        <f t="shared" si="79"/>
        <v>5575.68</v>
      </c>
      <c r="M267" s="114">
        <f>IFERROR(IF('Payroll 2020'!C267='Payroll 2020'!$A$3,IF('Income Statement 2020'!$H$22&gt;0,'Income Statement 2020'!$H$22*0.1*('Payroll 2020'!G267/SUMIF($C$263:$C$301,$A$3,$G$263:$G$301)),0),0),0)</f>
        <v>0</v>
      </c>
      <c r="N267" s="224">
        <f t="shared" si="80"/>
        <v>5575.68</v>
      </c>
    </row>
    <row r="268" spans="1:14" outlineLevel="1" x14ac:dyDescent="0.25">
      <c r="A268" s="104" t="s">
        <v>183</v>
      </c>
      <c r="B268" s="63">
        <v>6</v>
      </c>
      <c r="C268" s="105" t="s">
        <v>3</v>
      </c>
      <c r="D268" s="5" t="s">
        <v>486</v>
      </c>
      <c r="E268" s="308">
        <f t="shared" si="75"/>
        <v>28</v>
      </c>
      <c r="F268" s="45">
        <f t="shared" si="72"/>
        <v>176</v>
      </c>
      <c r="G268" s="303">
        <f t="shared" si="76"/>
        <v>4928</v>
      </c>
      <c r="H268" s="114">
        <f t="shared" si="77"/>
        <v>394.24000000000007</v>
      </c>
      <c r="I268" s="114">
        <f t="shared" si="78"/>
        <v>236.54400000000001</v>
      </c>
      <c r="J268" s="114">
        <f t="shared" si="73"/>
        <v>394.24000000000007</v>
      </c>
      <c r="K268" s="114">
        <f t="shared" si="74"/>
        <v>0</v>
      </c>
      <c r="L268" s="224">
        <f t="shared" si="79"/>
        <v>3902.9759999999997</v>
      </c>
      <c r="M268" s="114">
        <f>IFERROR(IF('Payroll 2020'!C268='Payroll 2020'!$A$3,IF('Income Statement 2020'!$H$22&gt;0,'Income Statement 2020'!$H$22*0.1*('Payroll 2020'!G268/SUMIF($C$263:$C$301,$A$3,$G$263:$G$301)),0),0),0)</f>
        <v>0</v>
      </c>
      <c r="N268" s="224">
        <f t="shared" si="80"/>
        <v>3902.9759999999997</v>
      </c>
    </row>
    <row r="269" spans="1:14" outlineLevel="1" x14ac:dyDescent="0.25">
      <c r="A269" s="104" t="s">
        <v>183</v>
      </c>
      <c r="B269" s="63">
        <v>7</v>
      </c>
      <c r="C269" s="105" t="s">
        <v>3</v>
      </c>
      <c r="D269" s="5" t="s">
        <v>486</v>
      </c>
      <c r="E269" s="308">
        <f t="shared" si="75"/>
        <v>23</v>
      </c>
      <c r="F269" s="45">
        <f t="shared" si="72"/>
        <v>176</v>
      </c>
      <c r="G269" s="303">
        <f t="shared" si="76"/>
        <v>4048</v>
      </c>
      <c r="H269" s="114">
        <f t="shared" si="77"/>
        <v>323.84000000000009</v>
      </c>
      <c r="I269" s="114">
        <f t="shared" si="78"/>
        <v>194.304</v>
      </c>
      <c r="J269" s="114">
        <f t="shared" si="73"/>
        <v>323.84000000000009</v>
      </c>
      <c r="K269" s="114">
        <f t="shared" si="74"/>
        <v>0</v>
      </c>
      <c r="L269" s="224">
        <f t="shared" si="79"/>
        <v>3206.0159999999996</v>
      </c>
      <c r="M269" s="114">
        <f>IFERROR(IF('Payroll 2020'!C269='Payroll 2020'!$A$3,IF('Income Statement 2020'!$H$22&gt;0,'Income Statement 2020'!$H$22*0.1*('Payroll 2020'!G269/SUMIF($C$263:$C$301,$A$3,$G$263:$G$301)),0),0),0)</f>
        <v>0</v>
      </c>
      <c r="N269" s="224">
        <f t="shared" si="80"/>
        <v>3206.0159999999996</v>
      </c>
    </row>
    <row r="270" spans="1:14" outlineLevel="1" x14ac:dyDescent="0.25">
      <c r="A270" s="104" t="s">
        <v>183</v>
      </c>
      <c r="B270" s="63">
        <v>8</v>
      </c>
      <c r="C270" s="105" t="s">
        <v>3</v>
      </c>
      <c r="D270" s="5" t="s">
        <v>486</v>
      </c>
      <c r="E270" s="308">
        <f t="shared" si="75"/>
        <v>23</v>
      </c>
      <c r="F270" s="45">
        <f t="shared" si="72"/>
        <v>176</v>
      </c>
      <c r="G270" s="303">
        <f t="shared" si="76"/>
        <v>4048</v>
      </c>
      <c r="H270" s="114">
        <f t="shared" si="77"/>
        <v>323.84000000000009</v>
      </c>
      <c r="I270" s="114">
        <f t="shared" si="78"/>
        <v>194.304</v>
      </c>
      <c r="J270" s="114">
        <f t="shared" si="73"/>
        <v>323.84000000000009</v>
      </c>
      <c r="K270" s="114">
        <f t="shared" si="74"/>
        <v>0</v>
      </c>
      <c r="L270" s="224">
        <f t="shared" si="79"/>
        <v>3206.0159999999996</v>
      </c>
      <c r="M270" s="114">
        <f>IFERROR(IF('Payroll 2020'!C270='Payroll 2020'!$A$3,IF('Income Statement 2020'!$H$22&gt;0,'Income Statement 2020'!$H$22*0.1*('Payroll 2020'!G270/SUMIF($C$263:$C$301,$A$3,$G$263:$G$301)),0),0),0)</f>
        <v>0</v>
      </c>
      <c r="N270" s="224">
        <f t="shared" si="80"/>
        <v>3206.0159999999996</v>
      </c>
    </row>
    <row r="271" spans="1:14" outlineLevel="1" x14ac:dyDescent="0.25">
      <c r="A271" s="18" t="s">
        <v>184</v>
      </c>
      <c r="B271" s="63">
        <v>9</v>
      </c>
      <c r="C271" s="5"/>
      <c r="D271" s="5" t="s">
        <v>487</v>
      </c>
      <c r="E271" s="308">
        <f t="shared" si="75"/>
        <v>18</v>
      </c>
      <c r="F271" s="45">
        <f t="shared" si="72"/>
        <v>0</v>
      </c>
      <c r="G271" s="303">
        <f t="shared" si="76"/>
        <v>0</v>
      </c>
      <c r="H271" s="114">
        <f t="shared" si="77"/>
        <v>0</v>
      </c>
      <c r="I271" s="114">
        <f t="shared" si="78"/>
        <v>0</v>
      </c>
      <c r="J271" s="114">
        <f t="shared" si="73"/>
        <v>0</v>
      </c>
      <c r="K271" s="114">
        <f t="shared" si="74"/>
        <v>0</v>
      </c>
      <c r="L271" s="224">
        <f t="shared" si="79"/>
        <v>0</v>
      </c>
      <c r="M271" s="114">
        <f>IFERROR(IF('Payroll 2020'!C271='Payroll 2020'!$A$3,IF('Income Statement 2020'!$H$22&gt;0,'Income Statement 2020'!$H$22*0.1*('Payroll 2020'!G271/SUMIF($C$263:$C$301,$A$3,$G$263:$G$301)),0),0),0)</f>
        <v>0</v>
      </c>
      <c r="N271" s="224">
        <f t="shared" si="80"/>
        <v>0</v>
      </c>
    </row>
    <row r="272" spans="1:14" outlineLevel="1" x14ac:dyDescent="0.25">
      <c r="A272" s="18" t="s">
        <v>186</v>
      </c>
      <c r="B272" s="63">
        <v>10</v>
      </c>
      <c r="C272" s="5"/>
      <c r="D272" s="5" t="s">
        <v>486</v>
      </c>
      <c r="E272" s="308">
        <f t="shared" si="75"/>
        <v>23</v>
      </c>
      <c r="F272" s="45">
        <f t="shared" si="72"/>
        <v>0</v>
      </c>
      <c r="G272" s="303">
        <f t="shared" si="76"/>
        <v>0</v>
      </c>
      <c r="H272" s="114">
        <f t="shared" si="77"/>
        <v>0</v>
      </c>
      <c r="I272" s="114">
        <f t="shared" si="78"/>
        <v>0</v>
      </c>
      <c r="J272" s="114">
        <f t="shared" si="73"/>
        <v>0</v>
      </c>
      <c r="K272" s="114">
        <f t="shared" si="74"/>
        <v>0</v>
      </c>
      <c r="L272" s="224">
        <f t="shared" si="79"/>
        <v>0</v>
      </c>
      <c r="M272" s="114">
        <f>IFERROR(IF('Payroll 2020'!C272='Payroll 2020'!$A$3,IF('Income Statement 2020'!$H$22&gt;0,'Income Statement 2020'!$H$22*0.1*('Payroll 2020'!G272/SUMIF($C$263:$C$301,$A$3,$G$263:$G$301)),0),0),0)</f>
        <v>0</v>
      </c>
      <c r="N272" s="224">
        <f t="shared" si="80"/>
        <v>0</v>
      </c>
    </row>
    <row r="273" spans="1:14" outlineLevel="1" x14ac:dyDescent="0.25">
      <c r="A273" s="17" t="s">
        <v>187</v>
      </c>
      <c r="B273" s="63">
        <v>11</v>
      </c>
      <c r="C273" s="8"/>
      <c r="D273" s="5" t="s">
        <v>486</v>
      </c>
      <c r="E273" s="124">
        <v>40</v>
      </c>
      <c r="F273" s="45">
        <f t="shared" si="72"/>
        <v>0</v>
      </c>
      <c r="G273" s="224">
        <f t="shared" si="76"/>
        <v>0</v>
      </c>
      <c r="H273" s="114">
        <f t="shared" si="77"/>
        <v>0</v>
      </c>
      <c r="I273" s="114">
        <f t="shared" si="78"/>
        <v>0</v>
      </c>
      <c r="J273" s="114">
        <f t="shared" si="73"/>
        <v>0</v>
      </c>
      <c r="K273" s="114">
        <f t="shared" si="74"/>
        <v>0</v>
      </c>
      <c r="L273" s="224">
        <f t="shared" si="79"/>
        <v>0</v>
      </c>
      <c r="M273" s="114">
        <f>IFERROR(IF('Payroll 2020'!C273='Payroll 2020'!$A$3,IF('Income Statement 2020'!$H$22&gt;0,'Income Statement 2020'!$H$22*0.1*('Payroll 2020'!G273/SUMIF($C$263:$C$301,$A$3,$G$263:$G$301)),0),0),0)</f>
        <v>0</v>
      </c>
      <c r="N273" s="224">
        <f t="shared" si="80"/>
        <v>0</v>
      </c>
    </row>
    <row r="274" spans="1:14" outlineLevel="1" x14ac:dyDescent="0.25">
      <c r="A274" s="17" t="s">
        <v>188</v>
      </c>
      <c r="B274" s="63">
        <v>12</v>
      </c>
      <c r="C274" s="8"/>
      <c r="D274" s="5" t="s">
        <v>486</v>
      </c>
      <c r="E274" s="312">
        <v>40</v>
      </c>
      <c r="F274" s="45">
        <f t="shared" si="72"/>
        <v>0</v>
      </c>
      <c r="G274" s="224">
        <f t="shared" si="76"/>
        <v>0</v>
      </c>
      <c r="H274" s="114">
        <f t="shared" si="77"/>
        <v>0</v>
      </c>
      <c r="I274" s="114">
        <f t="shared" si="78"/>
        <v>0</v>
      </c>
      <c r="J274" s="114">
        <f t="shared" si="73"/>
        <v>0</v>
      </c>
      <c r="K274" s="114">
        <f t="shared" si="74"/>
        <v>0</v>
      </c>
      <c r="L274" s="224">
        <f t="shared" si="79"/>
        <v>0</v>
      </c>
      <c r="M274" s="114">
        <f>IFERROR(IF('Payroll 2020'!C274='Payroll 2020'!$A$3,IF('Income Statement 2020'!$H$22&gt;0,'Income Statement 2020'!$H$22*0.1*('Payroll 2020'!G274/SUMIF($C$263:$C$301,$A$3,$G$263:$G$301)),0),0),0)</f>
        <v>0</v>
      </c>
      <c r="N274" s="224">
        <f t="shared" si="80"/>
        <v>0</v>
      </c>
    </row>
    <row r="275" spans="1:14" outlineLevel="1" x14ac:dyDescent="0.25">
      <c r="A275" s="17" t="s">
        <v>189</v>
      </c>
      <c r="B275" s="63">
        <v>13</v>
      </c>
      <c r="C275" s="8"/>
      <c r="D275" s="5" t="s">
        <v>486</v>
      </c>
      <c r="E275" s="124">
        <v>30</v>
      </c>
      <c r="F275" s="45">
        <f t="shared" si="72"/>
        <v>0</v>
      </c>
      <c r="G275" s="224">
        <f t="shared" si="76"/>
        <v>0</v>
      </c>
      <c r="H275" s="114">
        <f t="shared" si="77"/>
        <v>0</v>
      </c>
      <c r="I275" s="114">
        <f t="shared" si="78"/>
        <v>0</v>
      </c>
      <c r="J275" s="114">
        <f t="shared" si="73"/>
        <v>0</v>
      </c>
      <c r="K275" s="114">
        <f t="shared" si="74"/>
        <v>0</v>
      </c>
      <c r="L275" s="224">
        <f t="shared" si="79"/>
        <v>0</v>
      </c>
      <c r="M275" s="114">
        <f>IFERROR(IF('Payroll 2020'!C275='Payroll 2020'!$A$3,IF('Income Statement 2020'!$H$22&gt;0,'Income Statement 2020'!$H$22*0.1*('Payroll 2020'!G275/SUMIF($C$263:$C$301,$A$3,$G$263:$G$301)),0),0),0)</f>
        <v>0</v>
      </c>
      <c r="N275" s="224">
        <f t="shared" si="80"/>
        <v>0</v>
      </c>
    </row>
    <row r="276" spans="1:14" outlineLevel="1" x14ac:dyDescent="0.25">
      <c r="A276" s="17" t="s">
        <v>190</v>
      </c>
      <c r="B276" s="63">
        <v>14</v>
      </c>
      <c r="C276" s="8"/>
      <c r="D276" s="5" t="s">
        <v>487</v>
      </c>
      <c r="E276" s="124">
        <v>7.5</v>
      </c>
      <c r="F276" s="45">
        <f>F275</f>
        <v>0</v>
      </c>
      <c r="G276" s="224">
        <f t="shared" si="76"/>
        <v>0</v>
      </c>
      <c r="H276" s="114"/>
      <c r="I276" s="114"/>
      <c r="J276" s="114"/>
      <c r="K276" s="114"/>
      <c r="L276" s="224">
        <f t="shared" si="79"/>
        <v>0</v>
      </c>
      <c r="M276" s="114">
        <f>IFERROR(IF('Payroll 2020'!C276='Payroll 2020'!$A$3,IF('Income Statement 2020'!$H$22&gt;0,'Income Statement 2020'!$H$22*0.1*('Payroll 2020'!G276/SUMIF($C$263:$C$301,$A$3,$G$263:$G$301)),0),0),0)</f>
        <v>0</v>
      </c>
      <c r="N276" s="224">
        <f t="shared" si="80"/>
        <v>0</v>
      </c>
    </row>
    <row r="277" spans="1:14" outlineLevel="1" x14ac:dyDescent="0.25">
      <c r="A277" s="17" t="s">
        <v>191</v>
      </c>
      <c r="B277" s="63">
        <v>15</v>
      </c>
      <c r="C277" s="8"/>
      <c r="D277" s="5" t="s">
        <v>486</v>
      </c>
      <c r="E277" s="124">
        <v>10</v>
      </c>
      <c r="F277" s="45">
        <f>F276</f>
        <v>0</v>
      </c>
      <c r="G277" s="224">
        <f t="shared" si="76"/>
        <v>0</v>
      </c>
      <c r="H277" s="114"/>
      <c r="I277" s="114"/>
      <c r="J277" s="114"/>
      <c r="K277" s="114"/>
      <c r="L277" s="224">
        <f t="shared" si="79"/>
        <v>0</v>
      </c>
      <c r="M277" s="114">
        <f>IFERROR(IF('Payroll 2020'!C277='Payroll 2020'!$A$3,IF('Income Statement 2020'!$H$22&gt;0,'Income Statement 2020'!$H$22*0.1*('Payroll 2020'!G277/SUMIF($C$263:$C$301,$A$3,$G$263:$G$301)),0),0),0)</f>
        <v>0</v>
      </c>
      <c r="N277" s="224">
        <f t="shared" si="80"/>
        <v>0</v>
      </c>
    </row>
    <row r="278" spans="1:14" outlineLevel="1" x14ac:dyDescent="0.25">
      <c r="A278" s="17" t="s">
        <v>211</v>
      </c>
      <c r="B278" s="63">
        <v>16</v>
      </c>
      <c r="C278" s="8"/>
      <c r="D278" s="5" t="s">
        <v>486</v>
      </c>
      <c r="E278" s="124">
        <v>7.5</v>
      </c>
      <c r="F278" s="45">
        <f>F277</f>
        <v>0</v>
      </c>
      <c r="G278" s="224">
        <f t="shared" si="76"/>
        <v>0</v>
      </c>
      <c r="H278" s="114"/>
      <c r="I278" s="114"/>
      <c r="J278" s="114"/>
      <c r="K278" s="114"/>
      <c r="L278" s="224">
        <f t="shared" si="79"/>
        <v>0</v>
      </c>
      <c r="M278" s="114">
        <f>IFERROR(IF('Payroll 2020'!C278='Payroll 2020'!$A$3,IF('Income Statement 2020'!$H$22&gt;0,'Income Statement 2020'!$H$22*0.1*('Payroll 2020'!G278/SUMIF($C$263:$C$301,$A$3,$G$263:$G$301)),0),0),0)</f>
        <v>0</v>
      </c>
      <c r="N278" s="224">
        <f t="shared" si="80"/>
        <v>0</v>
      </c>
    </row>
    <row r="279" spans="1:14" outlineLevel="1" x14ac:dyDescent="0.25">
      <c r="A279" s="17" t="s">
        <v>211</v>
      </c>
      <c r="B279" s="63">
        <v>17</v>
      </c>
      <c r="C279" s="8"/>
      <c r="D279" s="5" t="s">
        <v>486</v>
      </c>
      <c r="E279" s="124">
        <f>E278</f>
        <v>7.5</v>
      </c>
      <c r="F279" s="45">
        <f>F278</f>
        <v>0</v>
      </c>
      <c r="G279" s="224">
        <f t="shared" si="76"/>
        <v>0</v>
      </c>
      <c r="H279" s="114"/>
      <c r="I279" s="114"/>
      <c r="J279" s="114"/>
      <c r="K279" s="114"/>
      <c r="L279" s="224">
        <f t="shared" si="79"/>
        <v>0</v>
      </c>
      <c r="M279" s="114">
        <f>IFERROR(IF('Payroll 2020'!C279='Payroll 2020'!$A$3,IF('Income Statement 2020'!$H$22&gt;0,'Income Statement 2020'!$H$22*0.1*('Payroll 2020'!G279/SUMIF($C$263:$C$301,$A$3,$G$263:$G$301)),0),0),0)</f>
        <v>0</v>
      </c>
      <c r="N279" s="224">
        <f t="shared" si="80"/>
        <v>0</v>
      </c>
    </row>
    <row r="280" spans="1:14" outlineLevel="1" x14ac:dyDescent="0.25">
      <c r="A280" s="18"/>
      <c r="B280" s="63">
        <v>18</v>
      </c>
      <c r="E280" s="124"/>
      <c r="F280" s="45">
        <f t="shared" ref="F280:F301" si="81">IF(C280=$A$3,$C$3*NETWORKDAYS($C$260,$E$260),0)</f>
        <v>0</v>
      </c>
      <c r="G280" s="224">
        <f t="shared" si="76"/>
        <v>0</v>
      </c>
      <c r="H280" s="114">
        <f t="shared" si="77"/>
        <v>0</v>
      </c>
      <c r="I280" s="114">
        <f t="shared" si="78"/>
        <v>0</v>
      </c>
      <c r="J280" s="114">
        <f t="shared" ref="J280:J301" si="82">IF(C280=$A$3,G280*$J$37,0)</f>
        <v>0</v>
      </c>
      <c r="K280" s="114">
        <f t="shared" ref="K280:K301" si="83">IF(C280=$A$3,G280*$K$37,0)</f>
        <v>0</v>
      </c>
      <c r="L280" s="224">
        <f t="shared" si="79"/>
        <v>0</v>
      </c>
      <c r="M280" s="114">
        <f>IFERROR(IF('Payroll 2020'!C280='Payroll 2020'!$A$3,IF('Income Statement 2020'!$H$22&gt;0,'Income Statement 2020'!$H$22*0.1*('Payroll 2020'!G280/SUMIF($C$263:$C$301,$A$3,$G$263:$G$301)),0),0),0)</f>
        <v>0</v>
      </c>
      <c r="N280" s="224">
        <f t="shared" si="80"/>
        <v>0</v>
      </c>
    </row>
    <row r="281" spans="1:14" outlineLevel="1" x14ac:dyDescent="0.25">
      <c r="A281" s="18"/>
      <c r="B281" s="63">
        <v>19</v>
      </c>
      <c r="E281" s="124"/>
      <c r="F281" s="45">
        <f t="shared" si="81"/>
        <v>0</v>
      </c>
      <c r="G281" s="224">
        <f t="shared" si="76"/>
        <v>0</v>
      </c>
      <c r="H281" s="114">
        <f t="shared" si="77"/>
        <v>0</v>
      </c>
      <c r="I281" s="114">
        <f t="shared" si="78"/>
        <v>0</v>
      </c>
      <c r="J281" s="114">
        <f t="shared" si="82"/>
        <v>0</v>
      </c>
      <c r="K281" s="114">
        <f t="shared" si="83"/>
        <v>0</v>
      </c>
      <c r="L281" s="224">
        <f t="shared" si="79"/>
        <v>0</v>
      </c>
      <c r="M281" s="114">
        <f>IFERROR(IF('Payroll 2020'!C281='Payroll 2020'!$A$3,IF('Income Statement 2020'!$H$22&gt;0,'Income Statement 2020'!$H$22*0.1*('Payroll 2020'!G281/SUMIF($C$263:$C$301,$A$3,$G$263:$G$301)),0),0),0)</f>
        <v>0</v>
      </c>
      <c r="N281" s="224">
        <f t="shared" si="80"/>
        <v>0</v>
      </c>
    </row>
    <row r="282" spans="1:14" outlineLevel="1" x14ac:dyDescent="0.25">
      <c r="A282" s="18"/>
      <c r="B282" s="63">
        <v>20</v>
      </c>
      <c r="E282" s="124"/>
      <c r="F282" s="45">
        <f t="shared" si="81"/>
        <v>0</v>
      </c>
      <c r="G282" s="224">
        <f t="shared" si="76"/>
        <v>0</v>
      </c>
      <c r="H282" s="114">
        <f t="shared" si="77"/>
        <v>0</v>
      </c>
      <c r="I282" s="114">
        <f t="shared" si="78"/>
        <v>0</v>
      </c>
      <c r="J282" s="114">
        <f t="shared" si="82"/>
        <v>0</v>
      </c>
      <c r="K282" s="114">
        <f t="shared" si="83"/>
        <v>0</v>
      </c>
      <c r="L282" s="224">
        <f t="shared" si="79"/>
        <v>0</v>
      </c>
      <c r="M282" s="114">
        <f>IFERROR(IF('Payroll 2020'!C282='Payroll 2020'!$A$3,IF('Income Statement 2020'!$H$22&gt;0,'Income Statement 2020'!$H$22*0.1*('Payroll 2020'!G282/SUMIF($C$263:$C$301,$A$3,$G$263:$G$301)),0),0),0)</f>
        <v>0</v>
      </c>
      <c r="N282" s="224">
        <f t="shared" si="80"/>
        <v>0</v>
      </c>
    </row>
    <row r="283" spans="1:14" outlineLevel="1" x14ac:dyDescent="0.25">
      <c r="A283" s="18"/>
      <c r="B283" s="63">
        <v>21</v>
      </c>
      <c r="E283" s="124"/>
      <c r="F283" s="45">
        <f t="shared" si="81"/>
        <v>0</v>
      </c>
      <c r="G283" s="224">
        <f t="shared" si="76"/>
        <v>0</v>
      </c>
      <c r="H283" s="114">
        <f t="shared" si="77"/>
        <v>0</v>
      </c>
      <c r="I283" s="114">
        <f t="shared" si="78"/>
        <v>0</v>
      </c>
      <c r="J283" s="114">
        <f t="shared" si="82"/>
        <v>0</v>
      </c>
      <c r="K283" s="114">
        <f t="shared" si="83"/>
        <v>0</v>
      </c>
      <c r="L283" s="224">
        <f t="shared" si="79"/>
        <v>0</v>
      </c>
      <c r="M283" s="114">
        <f>IFERROR(IF('Payroll 2020'!C283='Payroll 2020'!$A$3,IF('Income Statement 2020'!$H$22&gt;0,'Income Statement 2020'!$H$22*0.1*('Payroll 2020'!G283/SUMIF($C$263:$C$301,$A$3,$G$263:$G$301)),0),0),0)</f>
        <v>0</v>
      </c>
      <c r="N283" s="224">
        <f t="shared" si="80"/>
        <v>0</v>
      </c>
    </row>
    <row r="284" spans="1:14" outlineLevel="1" x14ac:dyDescent="0.25">
      <c r="A284" s="18"/>
      <c r="B284" s="63">
        <v>22</v>
      </c>
      <c r="E284" s="124"/>
      <c r="F284" s="45">
        <f t="shared" si="81"/>
        <v>0</v>
      </c>
      <c r="G284" s="224">
        <f t="shared" si="76"/>
        <v>0</v>
      </c>
      <c r="H284" s="114">
        <f t="shared" si="77"/>
        <v>0</v>
      </c>
      <c r="I284" s="114">
        <f t="shared" si="78"/>
        <v>0</v>
      </c>
      <c r="J284" s="114">
        <f t="shared" si="82"/>
        <v>0</v>
      </c>
      <c r="K284" s="114">
        <f t="shared" si="83"/>
        <v>0</v>
      </c>
      <c r="L284" s="224">
        <f t="shared" si="79"/>
        <v>0</v>
      </c>
      <c r="M284" s="114">
        <f>IFERROR(IF('Payroll 2020'!C284='Payroll 2020'!$A$3,IF('Income Statement 2020'!$H$22&gt;0,'Income Statement 2020'!$H$22*0.1*('Payroll 2020'!G284/SUMIF($C$263:$C$301,$A$3,$G$263:$G$301)),0),0),0)</f>
        <v>0</v>
      </c>
      <c r="N284" s="224">
        <f t="shared" si="80"/>
        <v>0</v>
      </c>
    </row>
    <row r="285" spans="1:14" outlineLevel="1" x14ac:dyDescent="0.25">
      <c r="A285" s="18"/>
      <c r="B285" s="63">
        <v>23</v>
      </c>
      <c r="E285" s="124"/>
      <c r="F285" s="45">
        <f t="shared" si="81"/>
        <v>0</v>
      </c>
      <c r="G285" s="224">
        <f t="shared" si="76"/>
        <v>0</v>
      </c>
      <c r="H285" s="114">
        <f t="shared" si="77"/>
        <v>0</v>
      </c>
      <c r="I285" s="114">
        <f t="shared" si="78"/>
        <v>0</v>
      </c>
      <c r="J285" s="114">
        <f t="shared" si="82"/>
        <v>0</v>
      </c>
      <c r="K285" s="114">
        <f t="shared" si="83"/>
        <v>0</v>
      </c>
      <c r="L285" s="224">
        <f t="shared" si="79"/>
        <v>0</v>
      </c>
      <c r="M285" s="114">
        <f>IFERROR(IF('Payroll 2020'!C285='Payroll 2020'!$A$3,IF('Income Statement 2020'!$H$22&gt;0,'Income Statement 2020'!$H$22*0.1*('Payroll 2020'!G285/SUMIF($C$263:$C$301,$A$3,$G$263:$G$301)),0),0),0)</f>
        <v>0</v>
      </c>
      <c r="N285" s="224">
        <f t="shared" si="80"/>
        <v>0</v>
      </c>
    </row>
    <row r="286" spans="1:14" outlineLevel="1" x14ac:dyDescent="0.25">
      <c r="A286" s="18"/>
      <c r="B286" s="63">
        <v>24</v>
      </c>
      <c r="E286" s="124"/>
      <c r="F286" s="45">
        <f t="shared" si="81"/>
        <v>0</v>
      </c>
      <c r="G286" s="224">
        <f t="shared" si="76"/>
        <v>0</v>
      </c>
      <c r="H286" s="114">
        <f t="shared" si="77"/>
        <v>0</v>
      </c>
      <c r="I286" s="114">
        <f t="shared" si="78"/>
        <v>0</v>
      </c>
      <c r="J286" s="114">
        <f t="shared" si="82"/>
        <v>0</v>
      </c>
      <c r="K286" s="114">
        <f t="shared" si="83"/>
        <v>0</v>
      </c>
      <c r="L286" s="224">
        <f t="shared" si="79"/>
        <v>0</v>
      </c>
      <c r="M286" s="114">
        <f>IFERROR(IF('Payroll 2020'!C286='Payroll 2020'!$A$3,IF('Income Statement 2020'!$H$22&gt;0,'Income Statement 2020'!$H$22*0.1*('Payroll 2020'!G286/SUMIF($C$263:$C$301,$A$3,$G$263:$G$301)),0),0),0)</f>
        <v>0</v>
      </c>
      <c r="N286" s="224">
        <f t="shared" si="80"/>
        <v>0</v>
      </c>
    </row>
    <row r="287" spans="1:14" outlineLevel="1" x14ac:dyDescent="0.25">
      <c r="A287" s="18"/>
      <c r="B287" s="63">
        <v>25</v>
      </c>
      <c r="E287" s="124"/>
      <c r="F287" s="45">
        <f t="shared" si="81"/>
        <v>0</v>
      </c>
      <c r="G287" s="224">
        <f t="shared" si="76"/>
        <v>0</v>
      </c>
      <c r="H287" s="114">
        <f t="shared" si="77"/>
        <v>0</v>
      </c>
      <c r="I287" s="114">
        <f t="shared" si="78"/>
        <v>0</v>
      </c>
      <c r="J287" s="114">
        <f t="shared" si="82"/>
        <v>0</v>
      </c>
      <c r="K287" s="114">
        <f t="shared" si="83"/>
        <v>0</v>
      </c>
      <c r="L287" s="224">
        <f t="shared" si="79"/>
        <v>0</v>
      </c>
      <c r="M287" s="114">
        <f>IFERROR(IF('Payroll 2020'!C287='Payroll 2020'!$A$3,IF('Income Statement 2020'!$H$22&gt;0,'Income Statement 2020'!$H$22*0.1*('Payroll 2020'!G287/SUMIF($C$263:$C$301,$A$3,$G$263:$G$301)),0),0),0)</f>
        <v>0</v>
      </c>
      <c r="N287" s="224">
        <f t="shared" si="80"/>
        <v>0</v>
      </c>
    </row>
    <row r="288" spans="1:14" outlineLevel="1" x14ac:dyDescent="0.25">
      <c r="A288" s="18"/>
      <c r="B288" s="63">
        <v>26</v>
      </c>
      <c r="E288" s="124"/>
      <c r="F288" s="45">
        <f t="shared" si="81"/>
        <v>0</v>
      </c>
      <c r="G288" s="224">
        <f t="shared" si="76"/>
        <v>0</v>
      </c>
      <c r="H288" s="114">
        <f t="shared" si="77"/>
        <v>0</v>
      </c>
      <c r="I288" s="114">
        <f t="shared" si="78"/>
        <v>0</v>
      </c>
      <c r="J288" s="114">
        <f t="shared" si="82"/>
        <v>0</v>
      </c>
      <c r="K288" s="114">
        <f t="shared" si="83"/>
        <v>0</v>
      </c>
      <c r="L288" s="224">
        <f t="shared" si="79"/>
        <v>0</v>
      </c>
      <c r="M288" s="114">
        <f>IFERROR(IF('Payroll 2020'!C288='Payroll 2020'!$A$3,IF('Income Statement 2020'!$H$22&gt;0,'Income Statement 2020'!$H$22*0.1*('Payroll 2020'!G288/SUMIF($C$263:$C$301,$A$3,$G$263:$G$301)),0),0),0)</f>
        <v>0</v>
      </c>
      <c r="N288" s="224">
        <f t="shared" si="80"/>
        <v>0</v>
      </c>
    </row>
    <row r="289" spans="1:14" outlineLevel="1" x14ac:dyDescent="0.25">
      <c r="A289" s="18" t="s">
        <v>245</v>
      </c>
      <c r="B289" s="63">
        <v>27</v>
      </c>
      <c r="E289" s="124">
        <v>45</v>
      </c>
      <c r="F289" s="45">
        <f t="shared" si="81"/>
        <v>0</v>
      </c>
      <c r="G289" s="224">
        <f t="shared" si="76"/>
        <v>0</v>
      </c>
      <c r="H289" s="114">
        <f t="shared" si="77"/>
        <v>0</v>
      </c>
      <c r="I289" s="114">
        <f t="shared" si="78"/>
        <v>0</v>
      </c>
      <c r="J289" s="114">
        <f t="shared" si="82"/>
        <v>0</v>
      </c>
      <c r="K289" s="114">
        <f t="shared" si="83"/>
        <v>0</v>
      </c>
      <c r="L289" s="224">
        <f t="shared" si="79"/>
        <v>0</v>
      </c>
      <c r="M289" s="114">
        <f>IFERROR(IF('Payroll 2020'!C289='Payroll 2020'!$A$3,IF('Income Statement 2020'!$H$22&gt;0,'Income Statement 2020'!$H$22*0.1*('Payroll 2020'!G289/SUMIF($C$263:$C$301,$A$3,$G$263:$G$301)),0),0),0)</f>
        <v>0</v>
      </c>
      <c r="N289" s="224">
        <f t="shared" si="80"/>
        <v>0</v>
      </c>
    </row>
    <row r="290" spans="1:14" outlineLevel="1" x14ac:dyDescent="0.25">
      <c r="A290" s="18"/>
      <c r="B290" s="63">
        <v>28</v>
      </c>
      <c r="E290" s="124"/>
      <c r="F290" s="45">
        <f t="shared" si="81"/>
        <v>0</v>
      </c>
      <c r="G290" s="224">
        <f t="shared" si="76"/>
        <v>0</v>
      </c>
      <c r="H290" s="114">
        <f t="shared" si="77"/>
        <v>0</v>
      </c>
      <c r="I290" s="114">
        <f t="shared" si="78"/>
        <v>0</v>
      </c>
      <c r="J290" s="114">
        <f t="shared" si="82"/>
        <v>0</v>
      </c>
      <c r="K290" s="114">
        <f t="shared" si="83"/>
        <v>0</v>
      </c>
      <c r="L290" s="224">
        <f t="shared" si="79"/>
        <v>0</v>
      </c>
      <c r="M290" s="114">
        <f>IFERROR(IF('Payroll 2020'!C290='Payroll 2020'!$A$3,IF('Income Statement 2020'!$H$22&gt;0,'Income Statement 2020'!$H$22*0.1*('Payroll 2020'!G290/SUMIF($C$263:$C$301,$A$3,$G$263:$G$301)),0),0),0)</f>
        <v>0</v>
      </c>
      <c r="N290" s="224">
        <f t="shared" si="80"/>
        <v>0</v>
      </c>
    </row>
    <row r="291" spans="1:14" outlineLevel="1" x14ac:dyDescent="0.25">
      <c r="A291" s="18"/>
      <c r="B291" s="63">
        <v>29</v>
      </c>
      <c r="E291" s="124"/>
      <c r="F291" s="45">
        <f t="shared" si="81"/>
        <v>0</v>
      </c>
      <c r="G291" s="224">
        <f t="shared" si="76"/>
        <v>0</v>
      </c>
      <c r="H291" s="114">
        <f t="shared" si="77"/>
        <v>0</v>
      </c>
      <c r="I291" s="114">
        <f t="shared" si="78"/>
        <v>0</v>
      </c>
      <c r="J291" s="114">
        <f t="shared" si="82"/>
        <v>0</v>
      </c>
      <c r="K291" s="114">
        <f t="shared" si="83"/>
        <v>0</v>
      </c>
      <c r="L291" s="224">
        <f t="shared" si="79"/>
        <v>0</v>
      </c>
      <c r="M291" s="114">
        <f>IFERROR(IF('Payroll 2020'!C291='Payroll 2020'!$A$3,IF('Income Statement 2020'!$H$22&gt;0,'Income Statement 2020'!$H$22*0.1*('Payroll 2020'!G291/SUMIF($C$263:$C$301,$A$3,$G$263:$G$301)),0),0),0)</f>
        <v>0</v>
      </c>
      <c r="N291" s="224">
        <f t="shared" si="80"/>
        <v>0</v>
      </c>
    </row>
    <row r="292" spans="1:14" outlineLevel="1" x14ac:dyDescent="0.25">
      <c r="A292" s="18"/>
      <c r="B292" s="63">
        <v>30</v>
      </c>
      <c r="E292" s="124"/>
      <c r="F292" s="45">
        <f t="shared" si="81"/>
        <v>0</v>
      </c>
      <c r="G292" s="224">
        <f t="shared" si="76"/>
        <v>0</v>
      </c>
      <c r="H292" s="114">
        <f t="shared" si="77"/>
        <v>0</v>
      </c>
      <c r="I292" s="114">
        <f t="shared" si="78"/>
        <v>0</v>
      </c>
      <c r="J292" s="114">
        <f t="shared" si="82"/>
        <v>0</v>
      </c>
      <c r="K292" s="114">
        <f t="shared" si="83"/>
        <v>0</v>
      </c>
      <c r="L292" s="224">
        <f t="shared" si="79"/>
        <v>0</v>
      </c>
      <c r="M292" s="114">
        <f>IFERROR(IF('Payroll 2020'!C292='Payroll 2020'!$A$3,IF('Income Statement 2020'!$H$22&gt;0,'Income Statement 2020'!$H$22*0.1*('Payroll 2020'!G292/SUMIF($C$263:$C$301,$A$3,$G$263:$G$301)),0),0),0)</f>
        <v>0</v>
      </c>
      <c r="N292" s="224">
        <f t="shared" si="80"/>
        <v>0</v>
      </c>
    </row>
    <row r="293" spans="1:14" outlineLevel="1" x14ac:dyDescent="0.25">
      <c r="A293" s="18"/>
      <c r="B293" s="63">
        <v>31</v>
      </c>
      <c r="E293" s="124"/>
      <c r="F293" s="45">
        <f t="shared" si="81"/>
        <v>0</v>
      </c>
      <c r="G293" s="224">
        <f t="shared" si="76"/>
        <v>0</v>
      </c>
      <c r="H293" s="114">
        <f t="shared" si="77"/>
        <v>0</v>
      </c>
      <c r="I293" s="114">
        <f t="shared" si="78"/>
        <v>0</v>
      </c>
      <c r="J293" s="114">
        <f t="shared" si="82"/>
        <v>0</v>
      </c>
      <c r="K293" s="114">
        <f t="shared" si="83"/>
        <v>0</v>
      </c>
      <c r="L293" s="224">
        <f t="shared" si="79"/>
        <v>0</v>
      </c>
      <c r="M293" s="114">
        <f>IFERROR(IF('Payroll 2020'!C293='Payroll 2020'!$A$3,IF('Income Statement 2020'!$H$22&gt;0,'Income Statement 2020'!$H$22*0.1*('Payroll 2020'!G293/SUMIF($C$263:$C$301,$A$3,$G$263:$G$301)),0),0),0)</f>
        <v>0</v>
      </c>
      <c r="N293" s="224">
        <f t="shared" si="80"/>
        <v>0</v>
      </c>
    </row>
    <row r="294" spans="1:14" outlineLevel="1" x14ac:dyDescent="0.25">
      <c r="A294" s="18"/>
      <c r="B294" s="63">
        <v>32</v>
      </c>
      <c r="E294" s="124"/>
      <c r="F294" s="45">
        <f t="shared" si="81"/>
        <v>0</v>
      </c>
      <c r="G294" s="224">
        <f t="shared" si="76"/>
        <v>0</v>
      </c>
      <c r="H294" s="114">
        <f t="shared" si="77"/>
        <v>0</v>
      </c>
      <c r="I294" s="114">
        <f t="shared" si="78"/>
        <v>0</v>
      </c>
      <c r="J294" s="114">
        <f t="shared" si="82"/>
        <v>0</v>
      </c>
      <c r="K294" s="114">
        <f t="shared" si="83"/>
        <v>0</v>
      </c>
      <c r="L294" s="224">
        <f t="shared" si="79"/>
        <v>0</v>
      </c>
      <c r="M294" s="114">
        <f>IFERROR(IF('Payroll 2020'!C294='Payroll 2020'!$A$3,IF('Income Statement 2020'!$H$22&gt;0,'Income Statement 2020'!$H$22*0.1*('Payroll 2020'!G294/SUMIF($C$263:$C$301,$A$3,$G$263:$G$301)),0),0),0)</f>
        <v>0</v>
      </c>
      <c r="N294" s="224">
        <f t="shared" si="80"/>
        <v>0</v>
      </c>
    </row>
    <row r="295" spans="1:14" outlineLevel="1" x14ac:dyDescent="0.25">
      <c r="A295" s="18"/>
      <c r="B295" s="63">
        <v>33</v>
      </c>
      <c r="E295" s="124"/>
      <c r="F295" s="45">
        <f t="shared" si="81"/>
        <v>0</v>
      </c>
      <c r="G295" s="224">
        <f t="shared" si="76"/>
        <v>0</v>
      </c>
      <c r="H295" s="114">
        <f t="shared" si="77"/>
        <v>0</v>
      </c>
      <c r="I295" s="114">
        <f t="shared" si="78"/>
        <v>0</v>
      </c>
      <c r="J295" s="114">
        <f t="shared" si="82"/>
        <v>0</v>
      </c>
      <c r="K295" s="114">
        <f t="shared" si="83"/>
        <v>0</v>
      </c>
      <c r="L295" s="224">
        <f t="shared" si="79"/>
        <v>0</v>
      </c>
      <c r="M295" s="114">
        <f>IFERROR(IF('Payroll 2020'!C295='Payroll 2020'!$A$3,IF('Income Statement 2020'!$H$22&gt;0,'Income Statement 2020'!$H$22*0.1*('Payroll 2020'!G295/SUMIF($C$263:$C$301,$A$3,$G$263:$G$301)),0),0),0)</f>
        <v>0</v>
      </c>
      <c r="N295" s="224">
        <f t="shared" si="80"/>
        <v>0</v>
      </c>
    </row>
    <row r="296" spans="1:14" outlineLevel="1" x14ac:dyDescent="0.25">
      <c r="A296" s="18"/>
      <c r="B296" s="63">
        <v>34</v>
      </c>
      <c r="E296" s="124"/>
      <c r="F296" s="45">
        <f t="shared" si="81"/>
        <v>0</v>
      </c>
      <c r="G296" s="224">
        <f t="shared" si="76"/>
        <v>0</v>
      </c>
      <c r="H296" s="114">
        <f t="shared" si="77"/>
        <v>0</v>
      </c>
      <c r="I296" s="114">
        <f t="shared" si="78"/>
        <v>0</v>
      </c>
      <c r="J296" s="114">
        <f t="shared" si="82"/>
        <v>0</v>
      </c>
      <c r="K296" s="114">
        <f t="shared" si="83"/>
        <v>0</v>
      </c>
      <c r="L296" s="224">
        <f t="shared" si="79"/>
        <v>0</v>
      </c>
      <c r="M296" s="114">
        <f>IFERROR(IF('Payroll 2020'!C296='Payroll 2020'!$A$3,IF('Income Statement 2020'!$H$22&gt;0,'Income Statement 2020'!$H$22*0.1*('Payroll 2020'!G296/SUMIF($C$263:$C$301,$A$3,$G$263:$G$301)),0),0),0)</f>
        <v>0</v>
      </c>
      <c r="N296" s="224">
        <f t="shared" si="80"/>
        <v>0</v>
      </c>
    </row>
    <row r="297" spans="1:14" outlineLevel="1" x14ac:dyDescent="0.25">
      <c r="A297" s="18"/>
      <c r="B297" s="63">
        <v>35</v>
      </c>
      <c r="E297" s="124"/>
      <c r="F297" s="45">
        <f t="shared" si="81"/>
        <v>0</v>
      </c>
      <c r="G297" s="224">
        <f t="shared" si="76"/>
        <v>0</v>
      </c>
      <c r="H297" s="114">
        <f t="shared" si="77"/>
        <v>0</v>
      </c>
      <c r="I297" s="114">
        <f t="shared" si="78"/>
        <v>0</v>
      </c>
      <c r="J297" s="114">
        <f t="shared" si="82"/>
        <v>0</v>
      </c>
      <c r="K297" s="114">
        <f t="shared" si="83"/>
        <v>0</v>
      </c>
      <c r="L297" s="224">
        <f t="shared" si="79"/>
        <v>0</v>
      </c>
      <c r="M297" s="114">
        <f>IFERROR(IF('Payroll 2020'!C297='Payroll 2020'!$A$3,IF('Income Statement 2020'!$H$22&gt;0,'Income Statement 2020'!$H$22*0.1*('Payroll 2020'!G297/SUMIF($C$263:$C$301,$A$3,$G$263:$G$301)),0),0),0)</f>
        <v>0</v>
      </c>
      <c r="N297" s="224">
        <f t="shared" si="80"/>
        <v>0</v>
      </c>
    </row>
    <row r="298" spans="1:14" outlineLevel="1" x14ac:dyDescent="0.25">
      <c r="A298" s="18"/>
      <c r="B298" s="63">
        <v>36</v>
      </c>
      <c r="E298" s="124"/>
      <c r="F298" s="45">
        <f t="shared" si="81"/>
        <v>0</v>
      </c>
      <c r="G298" s="224">
        <f t="shared" si="76"/>
        <v>0</v>
      </c>
      <c r="H298" s="114">
        <f t="shared" si="77"/>
        <v>0</v>
      </c>
      <c r="I298" s="114">
        <f t="shared" si="78"/>
        <v>0</v>
      </c>
      <c r="J298" s="114">
        <f t="shared" si="82"/>
        <v>0</v>
      </c>
      <c r="K298" s="114">
        <f t="shared" si="83"/>
        <v>0</v>
      </c>
      <c r="L298" s="224">
        <f t="shared" si="79"/>
        <v>0</v>
      </c>
      <c r="M298" s="114">
        <f>IFERROR(IF('Payroll 2020'!C298='Payroll 2020'!$A$3,IF('Income Statement 2020'!$H$22&gt;0,'Income Statement 2020'!$H$22*0.1*('Payroll 2020'!G298/SUMIF($C$263:$C$301,$A$3,$G$263:$G$301)),0),0),0)</f>
        <v>0</v>
      </c>
      <c r="N298" s="224">
        <f t="shared" si="80"/>
        <v>0</v>
      </c>
    </row>
    <row r="299" spans="1:14" outlineLevel="1" x14ac:dyDescent="0.25">
      <c r="A299" s="18"/>
      <c r="B299" s="63">
        <v>37</v>
      </c>
      <c r="E299" s="124"/>
      <c r="F299" s="45">
        <f t="shared" si="81"/>
        <v>0</v>
      </c>
      <c r="G299" s="224">
        <f t="shared" si="76"/>
        <v>0</v>
      </c>
      <c r="H299" s="114">
        <f t="shared" si="77"/>
        <v>0</v>
      </c>
      <c r="I299" s="114">
        <f t="shared" si="78"/>
        <v>0</v>
      </c>
      <c r="J299" s="114">
        <f t="shared" si="82"/>
        <v>0</v>
      </c>
      <c r="K299" s="114">
        <f t="shared" si="83"/>
        <v>0</v>
      </c>
      <c r="L299" s="224">
        <f t="shared" si="79"/>
        <v>0</v>
      </c>
      <c r="M299" s="114">
        <f>IFERROR(IF('Payroll 2020'!C299='Payroll 2020'!$A$3,IF('Income Statement 2020'!$H$22&gt;0,'Income Statement 2020'!$H$22*0.1*('Payroll 2020'!G299/SUMIF($C$263:$C$301,$A$3,$G$263:$G$301)),0),0),0)</f>
        <v>0</v>
      </c>
      <c r="N299" s="224">
        <f t="shared" si="80"/>
        <v>0</v>
      </c>
    </row>
    <row r="300" spans="1:14" outlineLevel="1" x14ac:dyDescent="0.25">
      <c r="A300" s="18"/>
      <c r="B300" s="63">
        <v>38</v>
      </c>
      <c r="E300" s="124"/>
      <c r="F300" s="45">
        <f t="shared" si="81"/>
        <v>0</v>
      </c>
      <c r="G300" s="224">
        <f t="shared" si="76"/>
        <v>0</v>
      </c>
      <c r="H300" s="114">
        <f t="shared" si="77"/>
        <v>0</v>
      </c>
      <c r="I300" s="114">
        <f t="shared" si="78"/>
        <v>0</v>
      </c>
      <c r="J300" s="114">
        <f t="shared" si="82"/>
        <v>0</v>
      </c>
      <c r="K300" s="114">
        <f t="shared" si="83"/>
        <v>0</v>
      </c>
      <c r="L300" s="224">
        <f t="shared" si="79"/>
        <v>0</v>
      </c>
      <c r="M300" s="114">
        <f>IFERROR(IF('Payroll 2020'!C300='Payroll 2020'!$A$3,IF('Income Statement 2020'!$H$22&gt;0,'Income Statement 2020'!$H$22*0.1*('Payroll 2020'!G300/SUMIF($C$263:$C$301,$A$3,$G$263:$G$301)),0),0),0)</f>
        <v>0</v>
      </c>
      <c r="N300" s="224">
        <f t="shared" si="80"/>
        <v>0</v>
      </c>
    </row>
    <row r="301" spans="1:14" ht="17" outlineLevel="1" thickBot="1" x14ac:dyDescent="0.3">
      <c r="A301" s="19"/>
      <c r="B301" s="126">
        <v>39</v>
      </c>
      <c r="C301" s="16"/>
      <c r="D301" s="16"/>
      <c r="E301" s="310"/>
      <c r="F301" s="46">
        <f t="shared" si="81"/>
        <v>0</v>
      </c>
      <c r="G301" s="306">
        <f t="shared" si="76"/>
        <v>0</v>
      </c>
      <c r="H301" s="305">
        <f t="shared" si="77"/>
        <v>0</v>
      </c>
      <c r="I301" s="305">
        <f t="shared" si="78"/>
        <v>0</v>
      </c>
      <c r="J301" s="305">
        <f t="shared" si="82"/>
        <v>0</v>
      </c>
      <c r="K301" s="305">
        <f t="shared" si="83"/>
        <v>0</v>
      </c>
      <c r="L301" s="306">
        <f t="shared" si="79"/>
        <v>0</v>
      </c>
      <c r="M301" s="305">
        <f>IFERROR(IF('Payroll 2020'!C301='Payroll 2020'!$A$3,IF('Income Statement 2020'!$H$22&gt;0,'Income Statement 2020'!$H$22*0.1*('Payroll 2020'!G301/SUMIF($C$263:$C$301,$A$3,$G$263:$G$301)),0),0),0)</f>
        <v>0</v>
      </c>
      <c r="N301" s="306">
        <f t="shared" si="80"/>
        <v>0</v>
      </c>
    </row>
    <row r="302" spans="1:14" outlineLevel="1" x14ac:dyDescent="0.25">
      <c r="A302" s="2" t="s">
        <v>19</v>
      </c>
      <c r="B302" s="2"/>
      <c r="C302" s="2"/>
      <c r="D302" s="2"/>
      <c r="E302" s="313">
        <f>AVERAGE(E263:E301)</f>
        <v>27.527777777777779</v>
      </c>
      <c r="F302" s="39">
        <f>IFERROR(SUM(F263:F301),"")</f>
        <v>1408</v>
      </c>
      <c r="G302" s="224">
        <f t="shared" ref="G302:N302" si="84">IFERROR(SUM(G263:G301),"")</f>
        <v>46992</v>
      </c>
      <c r="H302" s="224">
        <f t="shared" si="84"/>
        <v>3759.3600000000015</v>
      </c>
      <c r="I302" s="224">
        <f t="shared" si="84"/>
        <v>2255.6160000000004</v>
      </c>
      <c r="J302" s="224">
        <f t="shared" si="84"/>
        <v>3759.3600000000015</v>
      </c>
      <c r="K302" s="224">
        <f t="shared" si="84"/>
        <v>0</v>
      </c>
      <c r="L302" s="224">
        <f t="shared" si="84"/>
        <v>37217.664000000004</v>
      </c>
      <c r="M302" s="224">
        <f t="shared" si="84"/>
        <v>0</v>
      </c>
      <c r="N302" s="224">
        <f t="shared" si="84"/>
        <v>37217.664000000004</v>
      </c>
    </row>
    <row r="303" spans="1:14" outlineLevel="1" x14ac:dyDescent="0.25"/>
    <row r="305" spans="1:14" x14ac:dyDescent="0.25">
      <c r="A305" s="2" t="s">
        <v>26</v>
      </c>
      <c r="B305" s="1" t="s">
        <v>17</v>
      </c>
      <c r="C305" s="20">
        <v>44013</v>
      </c>
      <c r="D305" s="1" t="s">
        <v>18</v>
      </c>
      <c r="E305" s="20">
        <v>44043</v>
      </c>
      <c r="F305" s="1" t="s">
        <v>42</v>
      </c>
      <c r="G305" s="1">
        <f>NETWORKDAYS(C305,E305)</f>
        <v>23</v>
      </c>
    </row>
    <row r="306" spans="1:14" ht="68" customHeight="1" outlineLevel="1" x14ac:dyDescent="0.25">
      <c r="A306" s="11" t="s">
        <v>2</v>
      </c>
      <c r="B306" s="10" t="s">
        <v>12</v>
      </c>
      <c r="C306" s="10" t="s">
        <v>1</v>
      </c>
      <c r="D306" s="10" t="s">
        <v>483</v>
      </c>
      <c r="E306" s="10" t="s">
        <v>13</v>
      </c>
      <c r="F306" s="10" t="s">
        <v>15</v>
      </c>
      <c r="G306" s="10" t="str">
        <f>G261</f>
        <v>Monthly Wage including all charges</v>
      </c>
      <c r="H306" s="10" t="str">
        <f t="shared" ref="H306:J306" si="85">H261</f>
        <v>URSSAF</v>
      </c>
      <c r="I306" s="10" t="str">
        <f t="shared" si="85"/>
        <v>Impot à la source</v>
      </c>
      <c r="J306" s="10" t="str">
        <f t="shared" si="85"/>
        <v>Employee Pension</v>
      </c>
      <c r="K306" s="10"/>
      <c r="L306" s="10" t="s">
        <v>14</v>
      </c>
      <c r="M306" s="10" t="s">
        <v>11</v>
      </c>
      <c r="N306" s="10" t="s">
        <v>20</v>
      </c>
    </row>
    <row r="307" spans="1:14" ht="17" outlineLevel="1" thickBot="1" x14ac:dyDescent="0.3">
      <c r="A307" s="12"/>
      <c r="B307" s="13"/>
      <c r="C307" s="13"/>
      <c r="D307" s="13"/>
      <c r="E307" s="13"/>
      <c r="F307" s="13"/>
      <c r="G307" s="314">
        <f>H307+I307+J307</f>
        <v>0.20800000000000002</v>
      </c>
      <c r="H307" s="315">
        <f>H262</f>
        <v>8.0000000000000016E-2</v>
      </c>
      <c r="I307" s="315">
        <f t="shared" ref="I307:J307" si="86">I262</f>
        <v>4.8000000000000001E-2</v>
      </c>
      <c r="J307" s="315">
        <f t="shared" si="86"/>
        <v>8.0000000000000016E-2</v>
      </c>
      <c r="K307" s="14"/>
      <c r="L307" s="15"/>
      <c r="M307" s="14">
        <f>'Payroll 2020-2024'!$L$12</f>
        <v>0.1</v>
      </c>
      <c r="N307" s="15"/>
    </row>
    <row r="308" spans="1:14" outlineLevel="1" x14ac:dyDescent="0.25">
      <c r="A308" s="104" t="s">
        <v>178</v>
      </c>
      <c r="B308" s="63">
        <v>1</v>
      </c>
      <c r="C308" s="105" t="s">
        <v>3</v>
      </c>
      <c r="D308" s="5" t="s">
        <v>484</v>
      </c>
      <c r="E308" s="308">
        <f>E263</f>
        <v>48</v>
      </c>
      <c r="F308" s="45">
        <f t="shared" ref="F308:F320" si="87">IF(C308=$A$3,$C$3*NETWORKDAYS($C$305,$E$305),0)</f>
        <v>184</v>
      </c>
      <c r="G308" s="303">
        <f>IFERROR(E308*F308,0)</f>
        <v>8832</v>
      </c>
      <c r="H308" s="114">
        <f>IFERROR(G308*$H$37,0)</f>
        <v>706.56000000000017</v>
      </c>
      <c r="I308" s="114">
        <f>IFERROR(G308*$I$37,0)</f>
        <v>423.93600000000004</v>
      </c>
      <c r="J308" s="114">
        <f t="shared" ref="J308:J320" si="88">IF(C308=$A$3,G308*$J$37,0)</f>
        <v>706.56000000000017</v>
      </c>
      <c r="K308" s="114">
        <f t="shared" ref="K308:K320" si="89">IF(C308=$A$3,G308*$K$37,0)</f>
        <v>0</v>
      </c>
      <c r="L308" s="224">
        <f>IFERROR(G308-SUM(H308:K308),0)</f>
        <v>6994.9439999999995</v>
      </c>
      <c r="M308" s="114">
        <f>IFERROR(IF('Payroll 2020'!C308='Payroll 2020'!$A$3,IF('Income Statement 2020'!$I$22&gt;0,'Income Statement 2020'!$I$22*0.1*('Payroll 2020'!G308/SUMIF($C$308:$C$346,$A$3,$G$308:$G$346)),0),0),0)</f>
        <v>0</v>
      </c>
      <c r="N308" s="224">
        <f>IFERROR(L308+M308,0)</f>
        <v>6994.9439999999995</v>
      </c>
    </row>
    <row r="309" spans="1:14" outlineLevel="1" x14ac:dyDescent="0.25">
      <c r="A309" s="104" t="s">
        <v>179</v>
      </c>
      <c r="B309" s="63">
        <v>2</v>
      </c>
      <c r="C309" s="105" t="s">
        <v>3</v>
      </c>
      <c r="D309" s="5" t="s">
        <v>484</v>
      </c>
      <c r="E309" s="308">
        <f t="shared" ref="E309:E324" si="90">E264</f>
        <v>45</v>
      </c>
      <c r="F309" s="45">
        <f t="shared" si="87"/>
        <v>184</v>
      </c>
      <c r="G309" s="303">
        <f t="shared" ref="G309:G346" si="91">IFERROR(E309*F309,0)</f>
        <v>8280</v>
      </c>
      <c r="H309" s="114">
        <f t="shared" ref="H309:H346" si="92">IFERROR(G309*$H$37,0)</f>
        <v>662.40000000000009</v>
      </c>
      <c r="I309" s="114">
        <f t="shared" ref="I309:I346" si="93">IFERROR(G309*$I$37,0)</f>
        <v>397.44</v>
      </c>
      <c r="J309" s="114">
        <f t="shared" si="88"/>
        <v>662.40000000000009</v>
      </c>
      <c r="K309" s="114">
        <f t="shared" si="89"/>
        <v>0</v>
      </c>
      <c r="L309" s="224">
        <f t="shared" ref="L309:L346" si="94">IFERROR(G309-SUM(H309:K309),0)</f>
        <v>6557.76</v>
      </c>
      <c r="M309" s="114">
        <f>IFERROR(IF('Payroll 2020'!C309='Payroll 2020'!$A$3,IF('Income Statement 2020'!$I$22&gt;0,'Income Statement 2020'!$I$22*0.1*('Payroll 2020'!G309/SUMIF($C$308:$C$346,$A$3,$G$308:$G$346)),0),0),0)</f>
        <v>0</v>
      </c>
      <c r="N309" s="224">
        <f t="shared" ref="N309:N346" si="95">IFERROR(L309+M309,0)</f>
        <v>6557.76</v>
      </c>
    </row>
    <row r="310" spans="1:14" outlineLevel="1" x14ac:dyDescent="0.25">
      <c r="A310" s="104" t="s">
        <v>180</v>
      </c>
      <c r="B310" s="63">
        <v>3</v>
      </c>
      <c r="C310" s="105" t="s">
        <v>3</v>
      </c>
      <c r="D310" s="5" t="s">
        <v>484</v>
      </c>
      <c r="E310" s="308">
        <f t="shared" si="90"/>
        <v>37</v>
      </c>
      <c r="F310" s="45">
        <f t="shared" si="87"/>
        <v>184</v>
      </c>
      <c r="G310" s="303">
        <f t="shared" si="91"/>
        <v>6808</v>
      </c>
      <c r="H310" s="114">
        <f t="shared" si="92"/>
        <v>544.6400000000001</v>
      </c>
      <c r="I310" s="114">
        <f t="shared" si="93"/>
        <v>326.78399999999999</v>
      </c>
      <c r="J310" s="114">
        <f t="shared" si="88"/>
        <v>544.6400000000001</v>
      </c>
      <c r="K310" s="114">
        <f t="shared" si="89"/>
        <v>0</v>
      </c>
      <c r="L310" s="224">
        <f t="shared" si="94"/>
        <v>5391.9359999999997</v>
      </c>
      <c r="M310" s="114">
        <f>IFERROR(IF('Payroll 2020'!C310='Payroll 2020'!$A$3,IF('Income Statement 2020'!$I$22&gt;0,'Income Statement 2020'!$I$22*0.1*('Payroll 2020'!G310/SUMIF($C$308:$C$346,$A$3,$G$308:$G$346)),0),0),0)</f>
        <v>0</v>
      </c>
      <c r="N310" s="224">
        <f t="shared" si="95"/>
        <v>5391.9359999999997</v>
      </c>
    </row>
    <row r="311" spans="1:14" outlineLevel="1" x14ac:dyDescent="0.25">
      <c r="A311" s="104" t="s">
        <v>181</v>
      </c>
      <c r="B311" s="63">
        <v>4</v>
      </c>
      <c r="C311" s="105" t="s">
        <v>3</v>
      </c>
      <c r="D311" s="5" t="s">
        <v>485</v>
      </c>
      <c r="E311" s="308">
        <f t="shared" si="90"/>
        <v>23</v>
      </c>
      <c r="F311" s="45">
        <f t="shared" si="87"/>
        <v>184</v>
      </c>
      <c r="G311" s="303">
        <f t="shared" si="91"/>
        <v>4232</v>
      </c>
      <c r="H311" s="114">
        <f t="shared" si="92"/>
        <v>338.56000000000006</v>
      </c>
      <c r="I311" s="114">
        <f t="shared" si="93"/>
        <v>203.136</v>
      </c>
      <c r="J311" s="114">
        <f t="shared" si="88"/>
        <v>338.56000000000006</v>
      </c>
      <c r="K311" s="114">
        <f t="shared" si="89"/>
        <v>0</v>
      </c>
      <c r="L311" s="224">
        <f t="shared" si="94"/>
        <v>3351.7439999999997</v>
      </c>
      <c r="M311" s="114">
        <f>IFERROR(IF('Payroll 2020'!C311='Payroll 2020'!$A$3,IF('Income Statement 2020'!$I$22&gt;0,'Income Statement 2020'!$I$22*0.1*('Payroll 2020'!G311/SUMIF($C$308:$C$346,$A$3,$G$308:$G$346)),0),0),0)</f>
        <v>0</v>
      </c>
      <c r="N311" s="224">
        <f t="shared" si="95"/>
        <v>3351.7439999999997</v>
      </c>
    </row>
    <row r="312" spans="1:14" outlineLevel="1" x14ac:dyDescent="0.25">
      <c r="A312" s="104" t="s">
        <v>182</v>
      </c>
      <c r="B312" s="63">
        <v>5</v>
      </c>
      <c r="C312" s="105" t="s">
        <v>3</v>
      </c>
      <c r="D312" s="5" t="s">
        <v>486</v>
      </c>
      <c r="E312" s="308">
        <f t="shared" si="90"/>
        <v>40</v>
      </c>
      <c r="F312" s="45">
        <f t="shared" si="87"/>
        <v>184</v>
      </c>
      <c r="G312" s="303">
        <f t="shared" si="91"/>
        <v>7360</v>
      </c>
      <c r="H312" s="114">
        <f t="shared" si="92"/>
        <v>588.80000000000007</v>
      </c>
      <c r="I312" s="114">
        <f t="shared" si="93"/>
        <v>353.28000000000003</v>
      </c>
      <c r="J312" s="114">
        <f t="shared" si="88"/>
        <v>588.80000000000007</v>
      </c>
      <c r="K312" s="114">
        <f t="shared" si="89"/>
        <v>0</v>
      </c>
      <c r="L312" s="224">
        <f t="shared" si="94"/>
        <v>5829.12</v>
      </c>
      <c r="M312" s="114">
        <f>IFERROR(IF('Payroll 2020'!C312='Payroll 2020'!$A$3,IF('Income Statement 2020'!$I$22&gt;0,'Income Statement 2020'!$I$22*0.1*('Payroll 2020'!G312/SUMIF($C$308:$C$346,$A$3,$G$308:$G$346)),0),0),0)</f>
        <v>0</v>
      </c>
      <c r="N312" s="224">
        <f t="shared" si="95"/>
        <v>5829.12</v>
      </c>
    </row>
    <row r="313" spans="1:14" outlineLevel="1" x14ac:dyDescent="0.25">
      <c r="A313" s="104" t="s">
        <v>198</v>
      </c>
      <c r="B313" s="63">
        <v>6</v>
      </c>
      <c r="C313" s="105" t="s">
        <v>3</v>
      </c>
      <c r="D313" s="5" t="s">
        <v>486</v>
      </c>
      <c r="E313" s="308">
        <f t="shared" si="90"/>
        <v>28</v>
      </c>
      <c r="F313" s="45">
        <f t="shared" si="87"/>
        <v>184</v>
      </c>
      <c r="G313" s="303">
        <f t="shared" si="91"/>
        <v>5152</v>
      </c>
      <c r="H313" s="114">
        <f t="shared" si="92"/>
        <v>412.16000000000008</v>
      </c>
      <c r="I313" s="114">
        <f t="shared" si="93"/>
        <v>247.29599999999999</v>
      </c>
      <c r="J313" s="114">
        <f t="shared" si="88"/>
        <v>412.16000000000008</v>
      </c>
      <c r="K313" s="114">
        <f t="shared" si="89"/>
        <v>0</v>
      </c>
      <c r="L313" s="224">
        <f t="shared" si="94"/>
        <v>4080.384</v>
      </c>
      <c r="M313" s="114">
        <f>IFERROR(IF('Payroll 2020'!C313='Payroll 2020'!$A$3,IF('Income Statement 2020'!$I$22&gt;0,'Income Statement 2020'!$I$22*0.1*('Payroll 2020'!G313/SUMIF($C$308:$C$346,$A$3,$G$308:$G$346)),0),0),0)</f>
        <v>0</v>
      </c>
      <c r="N313" s="224">
        <f t="shared" si="95"/>
        <v>4080.384</v>
      </c>
    </row>
    <row r="314" spans="1:14" outlineLevel="1" x14ac:dyDescent="0.25">
      <c r="A314" s="104" t="s">
        <v>199</v>
      </c>
      <c r="B314" s="63">
        <v>7</v>
      </c>
      <c r="C314" s="105" t="s">
        <v>3</v>
      </c>
      <c r="D314" s="5" t="s">
        <v>486</v>
      </c>
      <c r="E314" s="308">
        <f t="shared" si="90"/>
        <v>23</v>
      </c>
      <c r="F314" s="45">
        <f t="shared" si="87"/>
        <v>184</v>
      </c>
      <c r="G314" s="303">
        <f t="shared" si="91"/>
        <v>4232</v>
      </c>
      <c r="H314" s="114">
        <f t="shared" si="92"/>
        <v>338.56000000000006</v>
      </c>
      <c r="I314" s="114">
        <f t="shared" si="93"/>
        <v>203.136</v>
      </c>
      <c r="J314" s="114">
        <f t="shared" si="88"/>
        <v>338.56000000000006</v>
      </c>
      <c r="K314" s="114">
        <f t="shared" si="89"/>
        <v>0</v>
      </c>
      <c r="L314" s="224">
        <f t="shared" si="94"/>
        <v>3351.7439999999997</v>
      </c>
      <c r="M314" s="114">
        <f>IFERROR(IF('Payroll 2020'!C314='Payroll 2020'!$A$3,IF('Income Statement 2020'!$I$22&gt;0,'Income Statement 2020'!$I$22*0.1*('Payroll 2020'!G314/SUMIF($C$308:$C$346,$A$3,$G$308:$G$346)),0),0),0)</f>
        <v>0</v>
      </c>
      <c r="N314" s="224">
        <f t="shared" si="95"/>
        <v>3351.7439999999997</v>
      </c>
    </row>
    <row r="315" spans="1:14" outlineLevel="1" x14ac:dyDescent="0.25">
      <c r="A315" s="104" t="s">
        <v>200</v>
      </c>
      <c r="B315" s="63">
        <v>8</v>
      </c>
      <c r="C315" s="105" t="s">
        <v>3</v>
      </c>
      <c r="D315" s="5" t="s">
        <v>486</v>
      </c>
      <c r="E315" s="308">
        <f t="shared" si="90"/>
        <v>23</v>
      </c>
      <c r="F315" s="45">
        <f t="shared" si="87"/>
        <v>184</v>
      </c>
      <c r="G315" s="303">
        <f t="shared" si="91"/>
        <v>4232</v>
      </c>
      <c r="H315" s="114">
        <f t="shared" si="92"/>
        <v>338.56000000000006</v>
      </c>
      <c r="I315" s="114">
        <f t="shared" si="93"/>
        <v>203.136</v>
      </c>
      <c r="J315" s="114">
        <f t="shared" si="88"/>
        <v>338.56000000000006</v>
      </c>
      <c r="K315" s="114">
        <f t="shared" si="89"/>
        <v>0</v>
      </c>
      <c r="L315" s="224">
        <f t="shared" si="94"/>
        <v>3351.7439999999997</v>
      </c>
      <c r="M315" s="114">
        <f>IFERROR(IF('Payroll 2020'!C315='Payroll 2020'!$A$3,IF('Income Statement 2020'!$I$22&gt;0,'Income Statement 2020'!$I$22*0.1*('Payroll 2020'!G315/SUMIF($C$308:$C$346,$A$3,$G$308:$G$346)),0),0),0)</f>
        <v>0</v>
      </c>
      <c r="N315" s="224">
        <f t="shared" si="95"/>
        <v>3351.7439999999997</v>
      </c>
    </row>
    <row r="316" spans="1:14" outlineLevel="1" x14ac:dyDescent="0.25">
      <c r="A316" s="18" t="s">
        <v>184</v>
      </c>
      <c r="B316" s="63">
        <v>9</v>
      </c>
      <c r="C316" s="5"/>
      <c r="D316" s="5" t="s">
        <v>487</v>
      </c>
      <c r="E316" s="308">
        <f t="shared" si="90"/>
        <v>18</v>
      </c>
      <c r="F316" s="45">
        <f t="shared" si="87"/>
        <v>0</v>
      </c>
      <c r="G316" s="303">
        <f t="shared" si="91"/>
        <v>0</v>
      </c>
      <c r="H316" s="114">
        <f t="shared" si="92"/>
        <v>0</v>
      </c>
      <c r="I316" s="114">
        <f t="shared" si="93"/>
        <v>0</v>
      </c>
      <c r="J316" s="114">
        <f t="shared" si="88"/>
        <v>0</v>
      </c>
      <c r="K316" s="114">
        <f t="shared" si="89"/>
        <v>0</v>
      </c>
      <c r="L316" s="224">
        <f t="shared" si="94"/>
        <v>0</v>
      </c>
      <c r="M316" s="114">
        <f>IFERROR(IF('Payroll 2020'!C316='Payroll 2020'!$A$3,IF('Income Statement 2020'!$I$22&gt;0,'Income Statement 2020'!$I$22*0.1*('Payroll 2020'!G316/SUMIF($C$308:$C$346,$A$3,$G$308:$G$346)),0),0),0)</f>
        <v>0</v>
      </c>
      <c r="N316" s="224">
        <f t="shared" si="95"/>
        <v>0</v>
      </c>
    </row>
    <row r="317" spans="1:14" outlineLevel="1" x14ac:dyDescent="0.25">
      <c r="A317" s="18" t="s">
        <v>186</v>
      </c>
      <c r="B317" s="63">
        <v>10</v>
      </c>
      <c r="C317" s="5"/>
      <c r="D317" s="5" t="s">
        <v>486</v>
      </c>
      <c r="E317" s="308">
        <f t="shared" si="90"/>
        <v>23</v>
      </c>
      <c r="F317" s="45">
        <f t="shared" si="87"/>
        <v>0</v>
      </c>
      <c r="G317" s="303">
        <f t="shared" si="91"/>
        <v>0</v>
      </c>
      <c r="H317" s="114">
        <f t="shared" si="92"/>
        <v>0</v>
      </c>
      <c r="I317" s="114">
        <f t="shared" si="93"/>
        <v>0</v>
      </c>
      <c r="J317" s="114">
        <f t="shared" si="88"/>
        <v>0</v>
      </c>
      <c r="K317" s="114">
        <f t="shared" si="89"/>
        <v>0</v>
      </c>
      <c r="L317" s="224">
        <f t="shared" si="94"/>
        <v>0</v>
      </c>
      <c r="M317" s="114">
        <f>IFERROR(IF('Payroll 2020'!C317='Payroll 2020'!$A$3,IF('Income Statement 2020'!$I$22&gt;0,'Income Statement 2020'!$I$22*0.1*('Payroll 2020'!G317/SUMIF($C$308:$C$346,$A$3,$G$308:$G$346)),0),0),0)</f>
        <v>0</v>
      </c>
      <c r="N317" s="224">
        <f t="shared" si="95"/>
        <v>0</v>
      </c>
    </row>
    <row r="318" spans="1:14" outlineLevel="1" x14ac:dyDescent="0.25">
      <c r="A318" s="18" t="s">
        <v>187</v>
      </c>
      <c r="B318" s="63">
        <v>11</v>
      </c>
      <c r="C318" s="5"/>
      <c r="D318" s="5" t="s">
        <v>486</v>
      </c>
      <c r="E318" s="308">
        <f t="shared" si="90"/>
        <v>40</v>
      </c>
      <c r="F318" s="45">
        <f t="shared" si="87"/>
        <v>0</v>
      </c>
      <c r="G318" s="224">
        <f t="shared" si="91"/>
        <v>0</v>
      </c>
      <c r="H318" s="114">
        <f t="shared" si="92"/>
        <v>0</v>
      </c>
      <c r="I318" s="114">
        <f t="shared" si="93"/>
        <v>0</v>
      </c>
      <c r="J318" s="114">
        <f t="shared" si="88"/>
        <v>0</v>
      </c>
      <c r="K318" s="114">
        <f t="shared" si="89"/>
        <v>0</v>
      </c>
      <c r="L318" s="224">
        <f t="shared" si="94"/>
        <v>0</v>
      </c>
      <c r="M318" s="114">
        <f>IFERROR(IF('Payroll 2020'!C318='Payroll 2020'!$A$3,IF('Income Statement 2020'!$I$22&gt;0,'Income Statement 2020'!$I$22*0.1*('Payroll 2020'!G318/SUMIF($C$308:$C$346,$A$3,$G$308:$G$346)),0),0),0)</f>
        <v>0</v>
      </c>
      <c r="N318" s="224">
        <f t="shared" si="95"/>
        <v>0</v>
      </c>
    </row>
    <row r="319" spans="1:14" outlineLevel="1" x14ac:dyDescent="0.25">
      <c r="A319" s="18" t="s">
        <v>201</v>
      </c>
      <c r="B319" s="63">
        <v>12</v>
      </c>
      <c r="C319" s="5"/>
      <c r="D319" s="5" t="s">
        <v>486</v>
      </c>
      <c r="E319" s="308">
        <f t="shared" si="90"/>
        <v>40</v>
      </c>
      <c r="F319" s="45">
        <f t="shared" si="87"/>
        <v>0</v>
      </c>
      <c r="G319" s="224">
        <f t="shared" si="91"/>
        <v>0</v>
      </c>
      <c r="H319" s="114">
        <f t="shared" si="92"/>
        <v>0</v>
      </c>
      <c r="I319" s="114">
        <f t="shared" si="93"/>
        <v>0</v>
      </c>
      <c r="J319" s="114">
        <f t="shared" si="88"/>
        <v>0</v>
      </c>
      <c r="K319" s="114">
        <f t="shared" si="89"/>
        <v>0</v>
      </c>
      <c r="L319" s="224">
        <f t="shared" si="94"/>
        <v>0</v>
      </c>
      <c r="M319" s="114">
        <f>IFERROR(IF('Payroll 2020'!C319='Payroll 2020'!$A$3,IF('Income Statement 2020'!$I$22&gt;0,'Income Statement 2020'!$I$22*0.1*('Payroll 2020'!G319/SUMIF($C$308:$C$346,$A$3,$G$308:$G$346)),0),0),0)</f>
        <v>0</v>
      </c>
      <c r="N319" s="224">
        <f t="shared" si="95"/>
        <v>0</v>
      </c>
    </row>
    <row r="320" spans="1:14" outlineLevel="1" x14ac:dyDescent="0.25">
      <c r="A320" s="18" t="s">
        <v>189</v>
      </c>
      <c r="B320" s="63">
        <v>13</v>
      </c>
      <c r="C320" s="5"/>
      <c r="D320" s="5" t="s">
        <v>486</v>
      </c>
      <c r="E320" s="308">
        <f t="shared" si="90"/>
        <v>30</v>
      </c>
      <c r="F320" s="45">
        <f t="shared" si="87"/>
        <v>0</v>
      </c>
      <c r="G320" s="224">
        <f t="shared" si="91"/>
        <v>0</v>
      </c>
      <c r="H320" s="114">
        <f t="shared" si="92"/>
        <v>0</v>
      </c>
      <c r="I320" s="114">
        <f t="shared" si="93"/>
        <v>0</v>
      </c>
      <c r="J320" s="114">
        <f t="shared" si="88"/>
        <v>0</v>
      </c>
      <c r="K320" s="114">
        <f t="shared" si="89"/>
        <v>0</v>
      </c>
      <c r="L320" s="224">
        <f t="shared" si="94"/>
        <v>0</v>
      </c>
      <c r="M320" s="114">
        <f>IFERROR(IF('Payroll 2020'!C320='Payroll 2020'!$A$3,IF('Income Statement 2020'!$I$22&gt;0,'Income Statement 2020'!$I$22*0.1*('Payroll 2020'!G320/SUMIF($C$308:$C$346,$A$3,$G$308:$G$346)),0),0),0)</f>
        <v>0</v>
      </c>
      <c r="N320" s="224">
        <f t="shared" si="95"/>
        <v>0</v>
      </c>
    </row>
    <row r="321" spans="1:14" outlineLevel="1" x14ac:dyDescent="0.25">
      <c r="A321" s="18" t="s">
        <v>190</v>
      </c>
      <c r="B321" s="63">
        <v>14</v>
      </c>
      <c r="C321" s="5"/>
      <c r="D321" s="5" t="s">
        <v>487</v>
      </c>
      <c r="E321" s="308">
        <f t="shared" si="90"/>
        <v>7.5</v>
      </c>
      <c r="F321" s="45">
        <v>184</v>
      </c>
      <c r="G321" s="224">
        <f t="shared" si="91"/>
        <v>1380</v>
      </c>
      <c r="H321" s="114"/>
      <c r="I321" s="114"/>
      <c r="J321" s="114"/>
      <c r="K321" s="114"/>
      <c r="L321" s="224">
        <f t="shared" si="94"/>
        <v>1380</v>
      </c>
      <c r="M321" s="114">
        <f>IFERROR(IF('Payroll 2020'!C321='Payroll 2020'!$A$3,IF('Income Statement 2020'!$I$22&gt;0,'Income Statement 2020'!$I$22*0.1*('Payroll 2020'!G321/SUMIF($C$308:$C$346,$A$3,$G$308:$G$346)),0),0),0)</f>
        <v>0</v>
      </c>
      <c r="N321" s="224">
        <f t="shared" si="95"/>
        <v>1380</v>
      </c>
    </row>
    <row r="322" spans="1:14" outlineLevel="1" x14ac:dyDescent="0.25">
      <c r="A322" s="18" t="s">
        <v>191</v>
      </c>
      <c r="B322" s="63">
        <v>15</v>
      </c>
      <c r="C322" s="5"/>
      <c r="D322" s="5" t="s">
        <v>486</v>
      </c>
      <c r="E322" s="308">
        <f t="shared" si="90"/>
        <v>10</v>
      </c>
      <c r="F322" s="45">
        <v>184</v>
      </c>
      <c r="G322" s="224">
        <f t="shared" si="91"/>
        <v>1840</v>
      </c>
      <c r="H322" s="114"/>
      <c r="I322" s="114"/>
      <c r="J322" s="114"/>
      <c r="K322" s="114"/>
      <c r="L322" s="224">
        <f t="shared" si="94"/>
        <v>1840</v>
      </c>
      <c r="M322" s="114">
        <f>IFERROR(IF('Payroll 2020'!C322='Payroll 2020'!$A$3,IF('Income Statement 2020'!$I$22&gt;0,'Income Statement 2020'!$I$22*0.1*('Payroll 2020'!G322/SUMIF($C$308:$C$346,$A$3,$G$308:$G$346)),0),0),0)</f>
        <v>0</v>
      </c>
      <c r="N322" s="224">
        <f t="shared" si="95"/>
        <v>1840</v>
      </c>
    </row>
    <row r="323" spans="1:14" outlineLevel="1" x14ac:dyDescent="0.25">
      <c r="A323" s="18" t="s">
        <v>192</v>
      </c>
      <c r="B323" s="63">
        <v>16</v>
      </c>
      <c r="C323" s="5"/>
      <c r="D323" s="5" t="s">
        <v>486</v>
      </c>
      <c r="E323" s="308">
        <f t="shared" si="90"/>
        <v>7.5</v>
      </c>
      <c r="F323" s="45">
        <v>184</v>
      </c>
      <c r="G323" s="224">
        <f t="shared" si="91"/>
        <v>1380</v>
      </c>
      <c r="H323" s="114"/>
      <c r="I323" s="114"/>
      <c r="J323" s="114"/>
      <c r="K323" s="114"/>
      <c r="L323" s="224">
        <f t="shared" si="94"/>
        <v>1380</v>
      </c>
      <c r="M323" s="114">
        <f>IFERROR(IF('Payroll 2020'!C323='Payroll 2020'!$A$3,IF('Income Statement 2020'!$I$22&gt;0,'Income Statement 2020'!$I$22*0.1*('Payroll 2020'!G323/SUMIF($C$308:$C$346,$A$3,$G$308:$G$346)),0),0),0)</f>
        <v>0</v>
      </c>
      <c r="N323" s="224">
        <f t="shared" si="95"/>
        <v>1380</v>
      </c>
    </row>
    <row r="324" spans="1:14" outlineLevel="1" x14ac:dyDescent="0.25">
      <c r="A324" s="18" t="s">
        <v>196</v>
      </c>
      <c r="B324" s="63">
        <v>17</v>
      </c>
      <c r="C324" s="5"/>
      <c r="D324" s="5" t="s">
        <v>486</v>
      </c>
      <c r="E324" s="308">
        <f t="shared" si="90"/>
        <v>7.5</v>
      </c>
      <c r="F324" s="45">
        <v>184</v>
      </c>
      <c r="G324" s="224">
        <f t="shared" si="91"/>
        <v>1380</v>
      </c>
      <c r="H324" s="114"/>
      <c r="I324" s="114"/>
      <c r="J324" s="114"/>
      <c r="K324" s="114"/>
      <c r="L324" s="224">
        <f t="shared" si="94"/>
        <v>1380</v>
      </c>
      <c r="M324" s="114">
        <f>IFERROR(IF('Payroll 2020'!C324='Payroll 2020'!$A$3,IF('Income Statement 2020'!$I$22&gt;0,'Income Statement 2020'!$I$22*0.1*('Payroll 2020'!G324/SUMIF($C$308:$C$346,$A$3,$G$308:$G$346)),0),0),0)</f>
        <v>0</v>
      </c>
      <c r="N324" s="224">
        <f t="shared" si="95"/>
        <v>1380</v>
      </c>
    </row>
    <row r="325" spans="1:14" outlineLevel="1" x14ac:dyDescent="0.25">
      <c r="A325" s="17" t="s">
        <v>193</v>
      </c>
      <c r="B325" s="63">
        <v>18</v>
      </c>
      <c r="C325" s="8"/>
      <c r="D325" s="5" t="s">
        <v>486</v>
      </c>
      <c r="E325" s="124">
        <v>22</v>
      </c>
      <c r="F325" s="45">
        <f>IF(C325=$A$3,$C$3*NETWORKDAYS($C$305,$E$305),0)</f>
        <v>0</v>
      </c>
      <c r="G325" s="224">
        <f t="shared" si="91"/>
        <v>0</v>
      </c>
      <c r="H325" s="114">
        <f t="shared" si="92"/>
        <v>0</v>
      </c>
      <c r="I325" s="114">
        <f t="shared" si="93"/>
        <v>0</v>
      </c>
      <c r="J325" s="114">
        <f>IF(C325=$A$3,G325*$J$37,0)</f>
        <v>0</v>
      </c>
      <c r="K325" s="114">
        <f>IF(C325=$A$3,G325*$K$37,0)</f>
        <v>0</v>
      </c>
      <c r="L325" s="224">
        <f t="shared" si="94"/>
        <v>0</v>
      </c>
      <c r="M325" s="114">
        <f>IFERROR(IF('Payroll 2020'!C325='Payroll 2020'!$A$3,IF('Income Statement 2020'!$I$22&gt;0,'Income Statement 2020'!$I$22*0.1*('Payroll 2020'!G325/SUMIF($C$308:$C$346,$A$3,$G$308:$G$346)),0),0),0)</f>
        <v>0</v>
      </c>
      <c r="N325" s="224">
        <f t="shared" si="95"/>
        <v>0</v>
      </c>
    </row>
    <row r="326" spans="1:14" outlineLevel="1" x14ac:dyDescent="0.25">
      <c r="A326" s="17" t="s">
        <v>194</v>
      </c>
      <c r="B326" s="63">
        <v>19</v>
      </c>
      <c r="C326" s="8"/>
      <c r="D326" s="5" t="s">
        <v>486</v>
      </c>
      <c r="E326" s="124">
        <v>25</v>
      </c>
      <c r="F326" s="45">
        <f>IF(C326=$A$3,$C$3*NETWORKDAYS($C$305,$E$305),0)</f>
        <v>0</v>
      </c>
      <c r="G326" s="224">
        <f t="shared" si="91"/>
        <v>0</v>
      </c>
      <c r="H326" s="114">
        <f t="shared" si="92"/>
        <v>0</v>
      </c>
      <c r="I326" s="114">
        <f t="shared" si="93"/>
        <v>0</v>
      </c>
      <c r="J326" s="114">
        <f>IF(C326=$A$3,G326*$J$37,0)</f>
        <v>0</v>
      </c>
      <c r="K326" s="114">
        <f>IF(C326=$A$3,G326*$K$37,0)</f>
        <v>0</v>
      </c>
      <c r="L326" s="224">
        <f t="shared" si="94"/>
        <v>0</v>
      </c>
      <c r="M326" s="114">
        <f>IFERROR(IF('Payroll 2020'!C326='Payroll 2020'!$A$3,IF('Income Statement 2020'!$I$22&gt;0,'Income Statement 2020'!$I$22*0.1*('Payroll 2020'!G326/SUMIF($C$308:$C$346,$A$3,$G$308:$G$346)),0),0),0)</f>
        <v>0</v>
      </c>
      <c r="N326" s="224">
        <f t="shared" si="95"/>
        <v>0</v>
      </c>
    </row>
    <row r="327" spans="1:14" outlineLevel="1" x14ac:dyDescent="0.25">
      <c r="A327" s="17" t="s">
        <v>202</v>
      </c>
      <c r="B327" s="63">
        <v>20</v>
      </c>
      <c r="C327" s="8"/>
      <c r="D327" s="5" t="s">
        <v>486</v>
      </c>
      <c r="E327" s="124">
        <v>20</v>
      </c>
      <c r="F327" s="45">
        <f>IF(C327=$A$3,$C$3*NETWORKDAYS($C$305,$E$305),0)</f>
        <v>0</v>
      </c>
      <c r="G327" s="224">
        <f t="shared" si="91"/>
        <v>0</v>
      </c>
      <c r="H327" s="114">
        <f t="shared" si="92"/>
        <v>0</v>
      </c>
      <c r="I327" s="114">
        <f t="shared" si="93"/>
        <v>0</v>
      </c>
      <c r="J327" s="114">
        <f>IF(C327=$A$3,G327*$J$37,0)</f>
        <v>0</v>
      </c>
      <c r="K327" s="114">
        <f>IF(C327=$A$3,G327*$K$37,0)</f>
        <v>0</v>
      </c>
      <c r="L327" s="224">
        <f t="shared" si="94"/>
        <v>0</v>
      </c>
      <c r="M327" s="114">
        <f>IFERROR(IF('Payroll 2020'!C327='Payroll 2020'!$A$3,IF('Income Statement 2020'!$I$22&gt;0,'Income Statement 2020'!$I$22*0.1*('Payroll 2020'!G327/SUMIF($C$308:$C$346,$A$3,$G$308:$G$346)),0),0),0)</f>
        <v>0</v>
      </c>
      <c r="N327" s="224">
        <f t="shared" si="95"/>
        <v>0</v>
      </c>
    </row>
    <row r="328" spans="1:14" outlineLevel="1" x14ac:dyDescent="0.25">
      <c r="A328" s="17" t="s">
        <v>195</v>
      </c>
      <c r="B328" s="63">
        <v>21</v>
      </c>
      <c r="C328" s="8"/>
      <c r="D328" s="5" t="s">
        <v>487</v>
      </c>
      <c r="E328" s="124">
        <f>E321</f>
        <v>7.5</v>
      </c>
      <c r="F328" s="45">
        <v>184</v>
      </c>
      <c r="G328" s="224">
        <f t="shared" si="91"/>
        <v>1380</v>
      </c>
      <c r="H328" s="114"/>
      <c r="I328" s="114"/>
      <c r="J328" s="114"/>
      <c r="K328" s="114"/>
      <c r="L328" s="224">
        <f t="shared" si="94"/>
        <v>1380</v>
      </c>
      <c r="M328" s="114">
        <f>IFERROR(IF('Payroll 2020'!C328='Payroll 2020'!$A$3,IF('Income Statement 2020'!$I$22&gt;0,'Income Statement 2020'!$I$22*0.1*('Payroll 2020'!G328/SUMIF($C$308:$C$346,$A$3,$G$308:$G$346)),0),0),0)</f>
        <v>0</v>
      </c>
      <c r="N328" s="224">
        <f t="shared" si="95"/>
        <v>1380</v>
      </c>
    </row>
    <row r="329" spans="1:14" outlineLevel="1" x14ac:dyDescent="0.25">
      <c r="A329" s="17" t="s">
        <v>197</v>
      </c>
      <c r="B329" s="63">
        <v>22</v>
      </c>
      <c r="C329" s="8"/>
      <c r="D329" s="5" t="s">
        <v>486</v>
      </c>
      <c r="E329" s="124">
        <f>E322</f>
        <v>10</v>
      </c>
      <c r="F329" s="45">
        <v>184</v>
      </c>
      <c r="G329" s="224">
        <f t="shared" si="91"/>
        <v>1840</v>
      </c>
      <c r="H329" s="114"/>
      <c r="I329" s="114"/>
      <c r="J329" s="114"/>
      <c r="K329" s="114"/>
      <c r="L329" s="224">
        <f t="shared" si="94"/>
        <v>1840</v>
      </c>
      <c r="M329" s="114">
        <f>IFERROR(IF('Payroll 2020'!C329='Payroll 2020'!$A$3,IF('Income Statement 2020'!$I$22&gt;0,'Income Statement 2020'!$I$22*0.1*('Payroll 2020'!G329/SUMIF($C$308:$C$346,$A$3,$G$308:$G$346)),0),0),0)</f>
        <v>0</v>
      </c>
      <c r="N329" s="224">
        <f t="shared" si="95"/>
        <v>1840</v>
      </c>
    </row>
    <row r="330" spans="1:14" outlineLevel="1" x14ac:dyDescent="0.25">
      <c r="A330" s="17" t="s">
        <v>203</v>
      </c>
      <c r="B330" s="63">
        <v>23</v>
      </c>
      <c r="C330" s="8"/>
      <c r="D330" s="5" t="s">
        <v>486</v>
      </c>
      <c r="E330" s="124">
        <f>E323</f>
        <v>7.5</v>
      </c>
      <c r="F330" s="45">
        <v>184</v>
      </c>
      <c r="G330" s="224">
        <f t="shared" si="91"/>
        <v>1380</v>
      </c>
      <c r="H330" s="114"/>
      <c r="I330" s="114"/>
      <c r="J330" s="114"/>
      <c r="K330" s="114"/>
      <c r="L330" s="224">
        <f t="shared" si="94"/>
        <v>1380</v>
      </c>
      <c r="M330" s="114">
        <f>IFERROR(IF('Payroll 2020'!C330='Payroll 2020'!$A$3,IF('Income Statement 2020'!$I$22&gt;0,'Income Statement 2020'!$I$22*0.1*('Payroll 2020'!G330/SUMIF($C$308:$C$346,$A$3,$G$308:$G$346)),0),0),0)</f>
        <v>0</v>
      </c>
      <c r="N330" s="224">
        <f t="shared" si="95"/>
        <v>1380</v>
      </c>
    </row>
    <row r="331" spans="1:14" outlineLevel="1" x14ac:dyDescent="0.25">
      <c r="A331" s="17" t="s">
        <v>204</v>
      </c>
      <c r="B331" s="63">
        <v>24</v>
      </c>
      <c r="C331" s="8"/>
      <c r="D331" s="5" t="s">
        <v>486</v>
      </c>
      <c r="E331" s="124">
        <f>E324</f>
        <v>7.5</v>
      </c>
      <c r="F331" s="45">
        <v>184</v>
      </c>
      <c r="G331" s="224">
        <f t="shared" si="91"/>
        <v>1380</v>
      </c>
      <c r="H331" s="114"/>
      <c r="I331" s="114"/>
      <c r="J331" s="114"/>
      <c r="K331" s="114"/>
      <c r="L331" s="224">
        <f t="shared" si="94"/>
        <v>1380</v>
      </c>
      <c r="M331" s="114">
        <f>IFERROR(IF('Payroll 2020'!C331='Payroll 2020'!$A$3,IF('Income Statement 2020'!$I$22&gt;0,'Income Statement 2020'!$I$22*0.1*('Payroll 2020'!G331/SUMIF($C$308:$C$346,$A$3,$G$308:$G$346)),0),0),0)</f>
        <v>0</v>
      </c>
      <c r="N331" s="224">
        <f t="shared" si="95"/>
        <v>1380</v>
      </c>
    </row>
    <row r="332" spans="1:14" outlineLevel="1" x14ac:dyDescent="0.25">
      <c r="A332" s="18"/>
      <c r="B332" s="63">
        <v>25</v>
      </c>
      <c r="E332" s="124"/>
      <c r="F332" s="45">
        <f t="shared" ref="F332:F346" si="96">IF(C332=$A$3,$C$3*NETWORKDAYS($C$305,$E$305),0)</f>
        <v>0</v>
      </c>
      <c r="G332" s="224">
        <f t="shared" si="91"/>
        <v>0</v>
      </c>
      <c r="H332" s="114">
        <f t="shared" si="92"/>
        <v>0</v>
      </c>
      <c r="I332" s="114">
        <f t="shared" si="93"/>
        <v>0</v>
      </c>
      <c r="J332" s="114">
        <f t="shared" ref="J332:J346" si="97">IF(C332=$A$3,G332*$J$37,0)</f>
        <v>0</v>
      </c>
      <c r="K332" s="114">
        <f t="shared" ref="K332:K346" si="98">IF(C332=$A$3,G332*$K$37,0)</f>
        <v>0</v>
      </c>
      <c r="L332" s="224">
        <f t="shared" si="94"/>
        <v>0</v>
      </c>
      <c r="M332" s="114">
        <f>IFERROR(IF('Payroll 2020'!C332='Payroll 2020'!$A$3,IF('Income Statement 2020'!$I$22&gt;0,'Income Statement 2020'!$I$22*0.1*('Payroll 2020'!G332/SUMIF($C$308:$C$346,$A$3,$G$308:$G$346)),0),0),0)</f>
        <v>0</v>
      </c>
      <c r="N332" s="224">
        <f t="shared" si="95"/>
        <v>0</v>
      </c>
    </row>
    <row r="333" spans="1:14" outlineLevel="1" x14ac:dyDescent="0.25">
      <c r="A333" s="18"/>
      <c r="B333" s="63">
        <v>26</v>
      </c>
      <c r="E333" s="124"/>
      <c r="F333" s="45">
        <f t="shared" si="96"/>
        <v>0</v>
      </c>
      <c r="G333" s="224">
        <f t="shared" si="91"/>
        <v>0</v>
      </c>
      <c r="H333" s="114">
        <f t="shared" si="92"/>
        <v>0</v>
      </c>
      <c r="I333" s="114">
        <f t="shared" si="93"/>
        <v>0</v>
      </c>
      <c r="J333" s="114">
        <f t="shared" si="97"/>
        <v>0</v>
      </c>
      <c r="K333" s="114">
        <f t="shared" si="98"/>
        <v>0</v>
      </c>
      <c r="L333" s="224">
        <f t="shared" si="94"/>
        <v>0</v>
      </c>
      <c r="M333" s="114">
        <f>IFERROR(IF('Payroll 2020'!C333='Payroll 2020'!$A$3,IF('Income Statement 2020'!$I$22&gt;0,'Income Statement 2020'!$I$22*0.1*('Payroll 2020'!G333/SUMIF($C$308:$C$346,$A$3,$G$308:$G$346)),0),0),0)</f>
        <v>0</v>
      </c>
      <c r="N333" s="224">
        <f t="shared" si="95"/>
        <v>0</v>
      </c>
    </row>
    <row r="334" spans="1:14" outlineLevel="1" x14ac:dyDescent="0.25">
      <c r="A334" s="18" t="s">
        <v>245</v>
      </c>
      <c r="B334" s="63">
        <v>27</v>
      </c>
      <c r="D334" s="5" t="s">
        <v>485</v>
      </c>
      <c r="E334" s="124">
        <v>30</v>
      </c>
      <c r="F334" s="45">
        <f t="shared" si="96"/>
        <v>0</v>
      </c>
      <c r="G334" s="224">
        <f t="shared" si="91"/>
        <v>0</v>
      </c>
      <c r="H334" s="114">
        <f t="shared" si="92"/>
        <v>0</v>
      </c>
      <c r="I334" s="114">
        <f t="shared" si="93"/>
        <v>0</v>
      </c>
      <c r="J334" s="114">
        <f t="shared" si="97"/>
        <v>0</v>
      </c>
      <c r="K334" s="114">
        <f t="shared" si="98"/>
        <v>0</v>
      </c>
      <c r="L334" s="224">
        <f t="shared" si="94"/>
        <v>0</v>
      </c>
      <c r="M334" s="114">
        <f>IFERROR(IF('Payroll 2020'!C334='Payroll 2020'!$A$3,IF('Income Statement 2020'!$I$22&gt;0,'Income Statement 2020'!$I$22*0.1*('Payroll 2020'!G334/SUMIF($C$308:$C$346,$A$3,$G$308:$G$346)),0),0),0)</f>
        <v>0</v>
      </c>
      <c r="N334" s="224">
        <f t="shared" si="95"/>
        <v>0</v>
      </c>
    </row>
    <row r="335" spans="1:14" outlineLevel="1" x14ac:dyDescent="0.25">
      <c r="A335" s="18" t="s">
        <v>230</v>
      </c>
      <c r="B335" s="63">
        <v>28</v>
      </c>
      <c r="D335" s="5" t="s">
        <v>485</v>
      </c>
      <c r="E335" s="124">
        <v>23</v>
      </c>
      <c r="F335" s="45">
        <f t="shared" si="96"/>
        <v>0</v>
      </c>
      <c r="G335" s="224">
        <f t="shared" si="91"/>
        <v>0</v>
      </c>
      <c r="H335" s="114">
        <f t="shared" si="92"/>
        <v>0</v>
      </c>
      <c r="I335" s="114">
        <f t="shared" si="93"/>
        <v>0</v>
      </c>
      <c r="J335" s="114">
        <f t="shared" si="97"/>
        <v>0</v>
      </c>
      <c r="K335" s="114">
        <f t="shared" si="98"/>
        <v>0</v>
      </c>
      <c r="L335" s="224">
        <f t="shared" si="94"/>
        <v>0</v>
      </c>
      <c r="M335" s="114">
        <f>IFERROR(IF('Payroll 2020'!C335='Payroll 2020'!$A$3,IF('Income Statement 2020'!$I$22&gt;0,'Income Statement 2020'!$I$22*0.1*('Payroll 2020'!G335/SUMIF($C$308:$C$346,$A$3,$G$308:$G$346)),0),0),0)</f>
        <v>0</v>
      </c>
      <c r="N335" s="224">
        <f t="shared" si="95"/>
        <v>0</v>
      </c>
    </row>
    <row r="336" spans="1:14" outlineLevel="1" x14ac:dyDescent="0.25">
      <c r="A336" s="18" t="s">
        <v>231</v>
      </c>
      <c r="B336" s="63">
        <v>29</v>
      </c>
      <c r="D336" s="5" t="s">
        <v>485</v>
      </c>
      <c r="E336" s="124">
        <v>17</v>
      </c>
      <c r="F336" s="45">
        <f t="shared" si="96"/>
        <v>0</v>
      </c>
      <c r="G336" s="224">
        <f t="shared" si="91"/>
        <v>0</v>
      </c>
      <c r="H336" s="114">
        <f t="shared" si="92"/>
        <v>0</v>
      </c>
      <c r="I336" s="114">
        <f t="shared" si="93"/>
        <v>0</v>
      </c>
      <c r="J336" s="114">
        <f t="shared" si="97"/>
        <v>0</v>
      </c>
      <c r="K336" s="114">
        <f t="shared" si="98"/>
        <v>0</v>
      </c>
      <c r="L336" s="224">
        <f t="shared" si="94"/>
        <v>0</v>
      </c>
      <c r="M336" s="114">
        <f>IFERROR(IF('Payroll 2020'!C336='Payroll 2020'!$A$3,IF('Income Statement 2020'!$I$22&gt;0,'Income Statement 2020'!$I$22*0.1*('Payroll 2020'!G336/SUMIF($C$308:$C$346,$A$3,$G$308:$G$346)),0),0),0)</f>
        <v>0</v>
      </c>
      <c r="N336" s="224">
        <f t="shared" si="95"/>
        <v>0</v>
      </c>
    </row>
    <row r="337" spans="1:14" outlineLevel="1" x14ac:dyDescent="0.25">
      <c r="A337" s="18"/>
      <c r="B337" s="63">
        <v>30</v>
      </c>
      <c r="E337" s="124"/>
      <c r="F337" s="45">
        <f t="shared" si="96"/>
        <v>0</v>
      </c>
      <c r="G337" s="224">
        <f t="shared" si="91"/>
        <v>0</v>
      </c>
      <c r="H337" s="114">
        <f t="shared" si="92"/>
        <v>0</v>
      </c>
      <c r="I337" s="114">
        <f t="shared" si="93"/>
        <v>0</v>
      </c>
      <c r="J337" s="114">
        <f t="shared" si="97"/>
        <v>0</v>
      </c>
      <c r="K337" s="114">
        <f t="shared" si="98"/>
        <v>0</v>
      </c>
      <c r="L337" s="224">
        <f t="shared" si="94"/>
        <v>0</v>
      </c>
      <c r="M337" s="114">
        <f>IFERROR(IF('Payroll 2020'!C337='Payroll 2020'!$A$3,IF('Income Statement 2020'!$I$22&gt;0,'Income Statement 2020'!$I$22*0.1*('Payroll 2020'!G337/SUMIF($C$308:$C$346,$A$3,$G$308:$G$346)),0),0),0)</f>
        <v>0</v>
      </c>
      <c r="N337" s="224">
        <f t="shared" si="95"/>
        <v>0</v>
      </c>
    </row>
    <row r="338" spans="1:14" outlineLevel="1" x14ac:dyDescent="0.25">
      <c r="A338" s="18"/>
      <c r="B338" s="63">
        <v>31</v>
      </c>
      <c r="E338" s="124"/>
      <c r="F338" s="45">
        <f t="shared" si="96"/>
        <v>0</v>
      </c>
      <c r="G338" s="224">
        <f t="shared" si="91"/>
        <v>0</v>
      </c>
      <c r="H338" s="114">
        <f t="shared" si="92"/>
        <v>0</v>
      </c>
      <c r="I338" s="114">
        <f t="shared" si="93"/>
        <v>0</v>
      </c>
      <c r="J338" s="114">
        <f t="shared" si="97"/>
        <v>0</v>
      </c>
      <c r="K338" s="114">
        <f t="shared" si="98"/>
        <v>0</v>
      </c>
      <c r="L338" s="224">
        <f t="shared" si="94"/>
        <v>0</v>
      </c>
      <c r="M338" s="114">
        <f>IFERROR(IF('Payroll 2020'!C338='Payroll 2020'!$A$3,IF('Income Statement 2020'!$I$22&gt;0,'Income Statement 2020'!$I$22*0.1*('Payroll 2020'!G338/SUMIF($C$308:$C$346,$A$3,$G$308:$G$346)),0),0),0)</f>
        <v>0</v>
      </c>
      <c r="N338" s="224">
        <f t="shared" si="95"/>
        <v>0</v>
      </c>
    </row>
    <row r="339" spans="1:14" outlineLevel="1" x14ac:dyDescent="0.25">
      <c r="A339" s="18"/>
      <c r="B339" s="63">
        <v>32</v>
      </c>
      <c r="E339" s="124"/>
      <c r="F339" s="45">
        <f t="shared" si="96"/>
        <v>0</v>
      </c>
      <c r="G339" s="224">
        <f t="shared" si="91"/>
        <v>0</v>
      </c>
      <c r="H339" s="114">
        <f t="shared" si="92"/>
        <v>0</v>
      </c>
      <c r="I339" s="114">
        <f t="shared" si="93"/>
        <v>0</v>
      </c>
      <c r="J339" s="114">
        <f t="shared" si="97"/>
        <v>0</v>
      </c>
      <c r="K339" s="114">
        <f t="shared" si="98"/>
        <v>0</v>
      </c>
      <c r="L339" s="224">
        <f t="shared" si="94"/>
        <v>0</v>
      </c>
      <c r="M339" s="114">
        <f>IFERROR(IF('Payroll 2020'!C339='Payroll 2020'!$A$3,IF('Income Statement 2020'!$I$22&gt;0,'Income Statement 2020'!$I$22*0.1*('Payroll 2020'!G339/SUMIF($C$308:$C$346,$A$3,$G$308:$G$346)),0),0),0)</f>
        <v>0</v>
      </c>
      <c r="N339" s="224">
        <f t="shared" si="95"/>
        <v>0</v>
      </c>
    </row>
    <row r="340" spans="1:14" outlineLevel="1" x14ac:dyDescent="0.25">
      <c r="A340" s="18"/>
      <c r="B340" s="63">
        <v>33</v>
      </c>
      <c r="E340" s="124"/>
      <c r="F340" s="45">
        <f t="shared" si="96"/>
        <v>0</v>
      </c>
      <c r="G340" s="224">
        <f t="shared" si="91"/>
        <v>0</v>
      </c>
      <c r="H340" s="114">
        <f t="shared" si="92"/>
        <v>0</v>
      </c>
      <c r="I340" s="114">
        <f t="shared" si="93"/>
        <v>0</v>
      </c>
      <c r="J340" s="114">
        <f t="shared" si="97"/>
        <v>0</v>
      </c>
      <c r="K340" s="114">
        <f t="shared" si="98"/>
        <v>0</v>
      </c>
      <c r="L340" s="224">
        <f t="shared" si="94"/>
        <v>0</v>
      </c>
      <c r="M340" s="114">
        <f>IFERROR(IF('Payroll 2020'!C340='Payroll 2020'!$A$3,IF('Income Statement 2020'!$I$22&gt;0,'Income Statement 2020'!$I$22*0.1*('Payroll 2020'!G340/SUMIF($C$308:$C$346,$A$3,$G$308:$G$346)),0),0),0)</f>
        <v>0</v>
      </c>
      <c r="N340" s="224">
        <f t="shared" si="95"/>
        <v>0</v>
      </c>
    </row>
    <row r="341" spans="1:14" outlineLevel="1" x14ac:dyDescent="0.25">
      <c r="A341" s="18"/>
      <c r="B341" s="63">
        <v>34</v>
      </c>
      <c r="E341" s="124"/>
      <c r="F341" s="45">
        <f t="shared" si="96"/>
        <v>0</v>
      </c>
      <c r="G341" s="224">
        <f t="shared" si="91"/>
        <v>0</v>
      </c>
      <c r="H341" s="114">
        <f t="shared" si="92"/>
        <v>0</v>
      </c>
      <c r="I341" s="114">
        <f t="shared" si="93"/>
        <v>0</v>
      </c>
      <c r="J341" s="114">
        <f t="shared" si="97"/>
        <v>0</v>
      </c>
      <c r="K341" s="114">
        <f t="shared" si="98"/>
        <v>0</v>
      </c>
      <c r="L341" s="224">
        <f t="shared" si="94"/>
        <v>0</v>
      </c>
      <c r="M341" s="114">
        <f>IFERROR(IF('Payroll 2020'!C341='Payroll 2020'!$A$3,IF('Income Statement 2020'!$I$22&gt;0,'Income Statement 2020'!$I$22*0.1*('Payroll 2020'!G341/SUMIF($C$308:$C$346,$A$3,$G$308:$G$346)),0),0),0)</f>
        <v>0</v>
      </c>
      <c r="N341" s="224">
        <f t="shared" si="95"/>
        <v>0</v>
      </c>
    </row>
    <row r="342" spans="1:14" outlineLevel="1" x14ac:dyDescent="0.25">
      <c r="A342" s="18"/>
      <c r="B342" s="63">
        <v>35</v>
      </c>
      <c r="E342" s="124"/>
      <c r="F342" s="45">
        <f t="shared" si="96"/>
        <v>0</v>
      </c>
      <c r="G342" s="224">
        <f t="shared" si="91"/>
        <v>0</v>
      </c>
      <c r="H342" s="114">
        <f t="shared" si="92"/>
        <v>0</v>
      </c>
      <c r="I342" s="114">
        <f t="shared" si="93"/>
        <v>0</v>
      </c>
      <c r="J342" s="114">
        <f t="shared" si="97"/>
        <v>0</v>
      </c>
      <c r="K342" s="114">
        <f t="shared" si="98"/>
        <v>0</v>
      </c>
      <c r="L342" s="224">
        <f t="shared" si="94"/>
        <v>0</v>
      </c>
      <c r="M342" s="114">
        <f>IFERROR(IF('Payroll 2020'!C342='Payroll 2020'!$A$3,IF('Income Statement 2020'!$I$22&gt;0,'Income Statement 2020'!$I$22*0.1*('Payroll 2020'!G342/SUMIF($C$308:$C$346,$A$3,$G$308:$G$346)),0),0),0)</f>
        <v>0</v>
      </c>
      <c r="N342" s="224">
        <f t="shared" si="95"/>
        <v>0</v>
      </c>
    </row>
    <row r="343" spans="1:14" outlineLevel="1" x14ac:dyDescent="0.25">
      <c r="A343" s="18"/>
      <c r="B343" s="63">
        <v>36</v>
      </c>
      <c r="E343" s="124"/>
      <c r="F343" s="45">
        <f t="shared" si="96"/>
        <v>0</v>
      </c>
      <c r="G343" s="224">
        <f t="shared" si="91"/>
        <v>0</v>
      </c>
      <c r="H343" s="114">
        <f t="shared" si="92"/>
        <v>0</v>
      </c>
      <c r="I343" s="114">
        <f t="shared" si="93"/>
        <v>0</v>
      </c>
      <c r="J343" s="114">
        <f t="shared" si="97"/>
        <v>0</v>
      </c>
      <c r="K343" s="114">
        <f t="shared" si="98"/>
        <v>0</v>
      </c>
      <c r="L343" s="224">
        <f t="shared" si="94"/>
        <v>0</v>
      </c>
      <c r="M343" s="114">
        <f>IFERROR(IF('Payroll 2020'!C343='Payroll 2020'!$A$3,IF('Income Statement 2020'!$I$22&gt;0,'Income Statement 2020'!$I$22*0.1*('Payroll 2020'!G343/SUMIF($C$308:$C$346,$A$3,$G$308:$G$346)),0),0),0)</f>
        <v>0</v>
      </c>
      <c r="N343" s="224">
        <f t="shared" si="95"/>
        <v>0</v>
      </c>
    </row>
    <row r="344" spans="1:14" outlineLevel="1" x14ac:dyDescent="0.25">
      <c r="A344" s="18"/>
      <c r="B344" s="63">
        <v>37</v>
      </c>
      <c r="E344" s="124"/>
      <c r="F344" s="45">
        <f t="shared" si="96"/>
        <v>0</v>
      </c>
      <c r="G344" s="224">
        <f t="shared" si="91"/>
        <v>0</v>
      </c>
      <c r="H344" s="114">
        <f t="shared" si="92"/>
        <v>0</v>
      </c>
      <c r="I344" s="114">
        <f t="shared" si="93"/>
        <v>0</v>
      </c>
      <c r="J344" s="114">
        <f t="shared" si="97"/>
        <v>0</v>
      </c>
      <c r="K344" s="114">
        <f t="shared" si="98"/>
        <v>0</v>
      </c>
      <c r="L344" s="224">
        <f t="shared" si="94"/>
        <v>0</v>
      </c>
      <c r="M344" s="114">
        <f>IFERROR(IF('Payroll 2020'!C344='Payroll 2020'!$A$3,IF('Income Statement 2020'!$I$22&gt;0,'Income Statement 2020'!$I$22*0.1*('Payroll 2020'!G344/SUMIF($C$308:$C$346,$A$3,$G$308:$G$346)),0),0),0)</f>
        <v>0</v>
      </c>
      <c r="N344" s="224">
        <f t="shared" si="95"/>
        <v>0</v>
      </c>
    </row>
    <row r="345" spans="1:14" outlineLevel="1" x14ac:dyDescent="0.25">
      <c r="A345" s="18"/>
      <c r="B345" s="63">
        <v>38</v>
      </c>
      <c r="E345" s="124"/>
      <c r="F345" s="45">
        <f t="shared" si="96"/>
        <v>0</v>
      </c>
      <c r="G345" s="224">
        <f t="shared" si="91"/>
        <v>0</v>
      </c>
      <c r="H345" s="114">
        <f t="shared" si="92"/>
        <v>0</v>
      </c>
      <c r="I345" s="114">
        <f t="shared" si="93"/>
        <v>0</v>
      </c>
      <c r="J345" s="114">
        <f t="shared" si="97"/>
        <v>0</v>
      </c>
      <c r="K345" s="114">
        <f t="shared" si="98"/>
        <v>0</v>
      </c>
      <c r="L345" s="224">
        <f t="shared" si="94"/>
        <v>0</v>
      </c>
      <c r="M345" s="114">
        <f>IFERROR(IF('Payroll 2020'!C345='Payroll 2020'!$A$3,IF('Income Statement 2020'!$I$22&gt;0,'Income Statement 2020'!$I$22*0.1*('Payroll 2020'!G345/SUMIF($C$308:$C$346,$A$3,$G$308:$G$346)),0),0),0)</f>
        <v>0</v>
      </c>
      <c r="N345" s="224">
        <f t="shared" si="95"/>
        <v>0</v>
      </c>
    </row>
    <row r="346" spans="1:14" ht="17" outlineLevel="1" thickBot="1" x14ac:dyDescent="0.3">
      <c r="A346" s="19"/>
      <c r="B346" s="126">
        <v>39</v>
      </c>
      <c r="C346" s="16"/>
      <c r="D346" s="16"/>
      <c r="E346" s="310"/>
      <c r="F346" s="46">
        <f t="shared" si="96"/>
        <v>0</v>
      </c>
      <c r="G346" s="306">
        <f t="shared" si="91"/>
        <v>0</v>
      </c>
      <c r="H346" s="305">
        <f t="shared" si="92"/>
        <v>0</v>
      </c>
      <c r="I346" s="305">
        <f t="shared" si="93"/>
        <v>0</v>
      </c>
      <c r="J346" s="305">
        <f t="shared" si="97"/>
        <v>0</v>
      </c>
      <c r="K346" s="305">
        <f t="shared" si="98"/>
        <v>0</v>
      </c>
      <c r="L346" s="306">
        <f t="shared" si="94"/>
        <v>0</v>
      </c>
      <c r="M346" s="305">
        <f>IFERROR(IF('Payroll 2020'!C346='Payroll 2020'!$A$3,IF('Income Statement 2020'!$I$22&gt;0,'Income Statement 2020'!$I$22*0.1*('Payroll 2020'!G346/SUMIF($C$308:$C$346,$A$3,$G$308:$G$346)),0),0),0)</f>
        <v>0</v>
      </c>
      <c r="N346" s="306">
        <f t="shared" si="95"/>
        <v>0</v>
      </c>
    </row>
    <row r="347" spans="1:14" outlineLevel="1" x14ac:dyDescent="0.25">
      <c r="A347" s="2" t="s">
        <v>19</v>
      </c>
      <c r="B347" s="2"/>
      <c r="C347" s="2"/>
      <c r="D347" s="2"/>
      <c r="E347" s="313">
        <f>AVERAGE(E308:E346)</f>
        <v>22.962962962962962</v>
      </c>
      <c r="F347" s="39">
        <f>IFERROR(SUM(F308:F346),"")</f>
        <v>2944</v>
      </c>
      <c r="G347" s="224">
        <f t="shared" ref="G347:N347" si="99">IFERROR(SUM(G308:G346),"")</f>
        <v>61088</v>
      </c>
      <c r="H347" s="224">
        <f t="shared" si="99"/>
        <v>3930.2400000000007</v>
      </c>
      <c r="I347" s="224">
        <f t="shared" si="99"/>
        <v>2358.1439999999998</v>
      </c>
      <c r="J347" s="224">
        <f t="shared" si="99"/>
        <v>3930.2400000000007</v>
      </c>
      <c r="K347" s="224">
        <f t="shared" si="99"/>
        <v>0</v>
      </c>
      <c r="L347" s="224">
        <f t="shared" si="99"/>
        <v>50869.375999999997</v>
      </c>
      <c r="M347" s="224">
        <f t="shared" si="99"/>
        <v>0</v>
      </c>
      <c r="N347" s="224">
        <f t="shared" si="99"/>
        <v>50869.375999999997</v>
      </c>
    </row>
    <row r="348" spans="1:14" outlineLevel="1" x14ac:dyDescent="0.25">
      <c r="E348" s="35"/>
      <c r="F348" s="35"/>
      <c r="G348" s="35"/>
      <c r="H348" s="35"/>
      <c r="I348" s="35"/>
      <c r="J348" s="35"/>
      <c r="K348" s="35"/>
      <c r="L348" s="35"/>
      <c r="M348" s="35"/>
      <c r="N348" s="35"/>
    </row>
    <row r="350" spans="1:14" x14ac:dyDescent="0.25">
      <c r="A350" s="2" t="s">
        <v>27</v>
      </c>
      <c r="B350" s="1" t="s">
        <v>17</v>
      </c>
      <c r="C350" s="20">
        <v>44044</v>
      </c>
      <c r="D350" s="1" t="s">
        <v>18</v>
      </c>
      <c r="E350" s="20">
        <v>44074</v>
      </c>
      <c r="F350" s="1" t="s">
        <v>42</v>
      </c>
      <c r="G350" s="1">
        <f>NETWORKDAYS(C350,E350)</f>
        <v>21</v>
      </c>
    </row>
    <row r="351" spans="1:14" ht="68" outlineLevel="1" x14ac:dyDescent="0.25">
      <c r="A351" s="11" t="s">
        <v>2</v>
      </c>
      <c r="B351" s="10" t="s">
        <v>12</v>
      </c>
      <c r="C351" s="10" t="s">
        <v>1</v>
      </c>
      <c r="D351" s="10" t="s">
        <v>483</v>
      </c>
      <c r="E351" s="10" t="s">
        <v>13</v>
      </c>
      <c r="F351" s="10" t="s">
        <v>15</v>
      </c>
      <c r="G351" s="10" t="str">
        <f>G306</f>
        <v>Monthly Wage including all charges</v>
      </c>
      <c r="H351" s="10" t="str">
        <f t="shared" ref="H351:J351" si="100">H306</f>
        <v>URSSAF</v>
      </c>
      <c r="I351" s="10" t="str">
        <f t="shared" si="100"/>
        <v>Impot à la source</v>
      </c>
      <c r="J351" s="10" t="str">
        <f t="shared" si="100"/>
        <v>Employee Pension</v>
      </c>
      <c r="K351" s="10"/>
      <c r="L351" s="10" t="s">
        <v>14</v>
      </c>
      <c r="M351" s="10" t="s">
        <v>11</v>
      </c>
      <c r="N351" s="10" t="s">
        <v>20</v>
      </c>
    </row>
    <row r="352" spans="1:14" ht="17" outlineLevel="1" thickBot="1" x14ac:dyDescent="0.3">
      <c r="A352" s="12"/>
      <c r="B352" s="13"/>
      <c r="C352" s="13"/>
      <c r="D352" s="13"/>
      <c r="E352" s="13"/>
      <c r="F352" s="13"/>
      <c r="G352" s="314">
        <f>H352+I352+J352</f>
        <v>0.20800000000000002</v>
      </c>
      <c r="H352" s="315">
        <f>H307</f>
        <v>8.0000000000000016E-2</v>
      </c>
      <c r="I352" s="315">
        <f t="shared" ref="I352:J352" si="101">I307</f>
        <v>4.8000000000000001E-2</v>
      </c>
      <c r="J352" s="315">
        <f t="shared" si="101"/>
        <v>8.0000000000000016E-2</v>
      </c>
      <c r="K352" s="14"/>
      <c r="L352" s="15"/>
      <c r="M352" s="14">
        <f>'Payroll 2020-2024'!$L$12</f>
        <v>0.1</v>
      </c>
      <c r="N352" s="15"/>
    </row>
    <row r="353" spans="1:14" outlineLevel="1" x14ac:dyDescent="0.25">
      <c r="A353" s="104" t="s">
        <v>178</v>
      </c>
      <c r="B353" s="63">
        <v>1</v>
      </c>
      <c r="C353" s="105" t="s">
        <v>3</v>
      </c>
      <c r="D353" s="5" t="s">
        <v>484</v>
      </c>
      <c r="E353" s="308">
        <f>E308</f>
        <v>48</v>
      </c>
      <c r="F353" s="45">
        <f t="shared" ref="F353:F365" si="102">IF(C353=$A$3,$C$3*NETWORKDAYS($C$350,$E$350),0)</f>
        <v>168</v>
      </c>
      <c r="G353" s="303">
        <f>IFERROR(E353*F353,0)</f>
        <v>8064</v>
      </c>
      <c r="H353" s="114">
        <f>IFERROR(G353*$H$37,0)</f>
        <v>645.12000000000012</v>
      </c>
      <c r="I353" s="114">
        <f>IFERROR(G353*$I$37,0)</f>
        <v>387.072</v>
      </c>
      <c r="J353" s="114">
        <f t="shared" ref="J353:J365" si="103">IF(C353=$A$3,G353*$J$37,0)</f>
        <v>645.12000000000012</v>
      </c>
      <c r="K353" s="114">
        <f t="shared" ref="K353:K365" si="104">IF(C353=$A$3,G353*$K$37,0)</f>
        <v>0</v>
      </c>
      <c r="L353" s="224">
        <f>IFERROR(G353-SUM(H353:K353),0)</f>
        <v>6386.6880000000001</v>
      </c>
      <c r="M353" s="114">
        <f>IFERROR(IF('Payroll 2020'!C353='Payroll 2020'!$A$3,IF('Income Statement 2020'!$J$22&gt;0,'Income Statement 2020'!$J$22*0.1*('Payroll 2020'!G353/SUMIF($C$353:$C$391,$A$3,$G$353:$G$391)),0),0),0)</f>
        <v>0</v>
      </c>
      <c r="N353" s="224">
        <f>IFERROR(L353+M353,0)</f>
        <v>6386.6880000000001</v>
      </c>
    </row>
    <row r="354" spans="1:14" outlineLevel="1" x14ac:dyDescent="0.25">
      <c r="A354" s="104" t="s">
        <v>179</v>
      </c>
      <c r="B354" s="63">
        <v>2</v>
      </c>
      <c r="C354" s="105" t="s">
        <v>3</v>
      </c>
      <c r="D354" s="5" t="s">
        <v>484</v>
      </c>
      <c r="E354" s="308">
        <f t="shared" ref="E354:E376" si="105">E309</f>
        <v>45</v>
      </c>
      <c r="F354" s="45">
        <f t="shared" si="102"/>
        <v>168</v>
      </c>
      <c r="G354" s="303">
        <f t="shared" ref="G354:G391" si="106">IFERROR(E354*F354,0)</f>
        <v>7560</v>
      </c>
      <c r="H354" s="114">
        <f t="shared" ref="H354:H391" si="107">IFERROR(G354*$H$37,0)</f>
        <v>604.80000000000007</v>
      </c>
      <c r="I354" s="114">
        <f t="shared" ref="I354:I391" si="108">IFERROR(G354*$I$37,0)</f>
        <v>362.88</v>
      </c>
      <c r="J354" s="114">
        <f t="shared" si="103"/>
        <v>604.80000000000007</v>
      </c>
      <c r="K354" s="114">
        <f t="shared" si="104"/>
        <v>0</v>
      </c>
      <c r="L354" s="224">
        <f t="shared" ref="L354:L391" si="109">IFERROR(G354-SUM(H354:K354),0)</f>
        <v>5987.52</v>
      </c>
      <c r="M354" s="114">
        <f>IFERROR(IF('Payroll 2020'!C354='Payroll 2020'!$A$3,IF('Income Statement 2020'!$J$22&gt;0,'Income Statement 2020'!$J$22*0.1*('Payroll 2020'!G354/SUMIF($C$353:$C$391,$A$3,$G$353:$G$391)),0),0),0)</f>
        <v>0</v>
      </c>
      <c r="N354" s="224">
        <f t="shared" ref="N354:N391" si="110">IFERROR(L354+M354,0)</f>
        <v>5987.52</v>
      </c>
    </row>
    <row r="355" spans="1:14" outlineLevel="1" x14ac:dyDescent="0.25">
      <c r="A355" s="104" t="s">
        <v>180</v>
      </c>
      <c r="B355" s="63">
        <v>3</v>
      </c>
      <c r="C355" s="105" t="s">
        <v>3</v>
      </c>
      <c r="D355" s="5" t="s">
        <v>484</v>
      </c>
      <c r="E355" s="308">
        <f t="shared" si="105"/>
        <v>37</v>
      </c>
      <c r="F355" s="45">
        <f t="shared" si="102"/>
        <v>168</v>
      </c>
      <c r="G355" s="303">
        <f t="shared" si="106"/>
        <v>6216</v>
      </c>
      <c r="H355" s="114">
        <f t="shared" si="107"/>
        <v>497.28000000000009</v>
      </c>
      <c r="I355" s="114">
        <f t="shared" si="108"/>
        <v>298.36799999999999</v>
      </c>
      <c r="J355" s="114">
        <f t="shared" si="103"/>
        <v>497.28000000000009</v>
      </c>
      <c r="K355" s="114">
        <f t="shared" si="104"/>
        <v>0</v>
      </c>
      <c r="L355" s="224">
        <f t="shared" si="109"/>
        <v>4923.0720000000001</v>
      </c>
      <c r="M355" s="114">
        <f>IFERROR(IF('Payroll 2020'!C355='Payroll 2020'!$A$3,IF('Income Statement 2020'!$J$22&gt;0,'Income Statement 2020'!$J$22*0.1*('Payroll 2020'!G355/SUMIF($C$353:$C$391,$A$3,$G$353:$G$391)),0),0),0)</f>
        <v>0</v>
      </c>
      <c r="N355" s="224">
        <f t="shared" si="110"/>
        <v>4923.0720000000001</v>
      </c>
    </row>
    <row r="356" spans="1:14" outlineLevel="1" x14ac:dyDescent="0.25">
      <c r="A356" s="104" t="s">
        <v>181</v>
      </c>
      <c r="B356" s="63">
        <v>4</v>
      </c>
      <c r="C356" s="105" t="s">
        <v>3</v>
      </c>
      <c r="D356" s="5" t="s">
        <v>485</v>
      </c>
      <c r="E356" s="308">
        <f t="shared" si="105"/>
        <v>23</v>
      </c>
      <c r="F356" s="45">
        <f t="shared" si="102"/>
        <v>168</v>
      </c>
      <c r="G356" s="303">
        <f t="shared" si="106"/>
        <v>3864</v>
      </c>
      <c r="H356" s="114">
        <f t="shared" si="107"/>
        <v>309.12000000000006</v>
      </c>
      <c r="I356" s="114">
        <f t="shared" si="108"/>
        <v>185.47200000000001</v>
      </c>
      <c r="J356" s="114">
        <f t="shared" si="103"/>
        <v>309.12000000000006</v>
      </c>
      <c r="K356" s="114">
        <f t="shared" si="104"/>
        <v>0</v>
      </c>
      <c r="L356" s="224">
        <f t="shared" si="109"/>
        <v>3060.2879999999996</v>
      </c>
      <c r="M356" s="114">
        <f>IFERROR(IF('Payroll 2020'!C356='Payroll 2020'!$A$3,IF('Income Statement 2020'!$J$22&gt;0,'Income Statement 2020'!$J$22*0.1*('Payroll 2020'!G356/SUMIF($C$353:$C$391,$A$3,$G$353:$G$391)),0),0),0)</f>
        <v>0</v>
      </c>
      <c r="N356" s="224">
        <f t="shared" si="110"/>
        <v>3060.2879999999996</v>
      </c>
    </row>
    <row r="357" spans="1:14" outlineLevel="1" x14ac:dyDescent="0.25">
      <c r="A357" s="104" t="s">
        <v>182</v>
      </c>
      <c r="B357" s="63">
        <v>5</v>
      </c>
      <c r="C357" s="105" t="s">
        <v>3</v>
      </c>
      <c r="D357" s="5" t="s">
        <v>486</v>
      </c>
      <c r="E357" s="308">
        <f t="shared" si="105"/>
        <v>40</v>
      </c>
      <c r="F357" s="45">
        <f t="shared" si="102"/>
        <v>168</v>
      </c>
      <c r="G357" s="303">
        <f t="shared" si="106"/>
        <v>6720</v>
      </c>
      <c r="H357" s="114">
        <f t="shared" si="107"/>
        <v>537.60000000000014</v>
      </c>
      <c r="I357" s="114">
        <f t="shared" si="108"/>
        <v>322.56</v>
      </c>
      <c r="J357" s="114">
        <f t="shared" si="103"/>
        <v>537.60000000000014</v>
      </c>
      <c r="K357" s="114">
        <f t="shared" si="104"/>
        <v>0</v>
      </c>
      <c r="L357" s="224">
        <f t="shared" si="109"/>
        <v>5322.24</v>
      </c>
      <c r="M357" s="114">
        <f>IFERROR(IF('Payroll 2020'!C357='Payroll 2020'!$A$3,IF('Income Statement 2020'!$J$22&gt;0,'Income Statement 2020'!$J$22*0.1*('Payroll 2020'!G357/SUMIF($C$353:$C$391,$A$3,$G$353:$G$391)),0),0),0)</f>
        <v>0</v>
      </c>
      <c r="N357" s="224">
        <f t="shared" si="110"/>
        <v>5322.24</v>
      </c>
    </row>
    <row r="358" spans="1:14" outlineLevel="1" x14ac:dyDescent="0.25">
      <c r="A358" s="104" t="s">
        <v>198</v>
      </c>
      <c r="B358" s="63">
        <v>6</v>
      </c>
      <c r="C358" s="105" t="s">
        <v>3</v>
      </c>
      <c r="D358" s="5" t="s">
        <v>486</v>
      </c>
      <c r="E358" s="308">
        <f t="shared" si="105"/>
        <v>28</v>
      </c>
      <c r="F358" s="45">
        <f t="shared" si="102"/>
        <v>168</v>
      </c>
      <c r="G358" s="303">
        <f t="shared" si="106"/>
        <v>4704</v>
      </c>
      <c r="H358" s="114">
        <f t="shared" si="107"/>
        <v>376.32000000000005</v>
      </c>
      <c r="I358" s="114">
        <f t="shared" si="108"/>
        <v>225.792</v>
      </c>
      <c r="J358" s="114">
        <f t="shared" si="103"/>
        <v>376.32000000000005</v>
      </c>
      <c r="K358" s="114">
        <f t="shared" si="104"/>
        <v>0</v>
      </c>
      <c r="L358" s="224">
        <f t="shared" si="109"/>
        <v>3725.5679999999998</v>
      </c>
      <c r="M358" s="114">
        <f>IFERROR(IF('Payroll 2020'!C358='Payroll 2020'!$A$3,IF('Income Statement 2020'!$J$22&gt;0,'Income Statement 2020'!$J$22*0.1*('Payroll 2020'!G358/SUMIF($C$353:$C$391,$A$3,$G$353:$G$391)),0),0),0)</f>
        <v>0</v>
      </c>
      <c r="N358" s="224">
        <f t="shared" si="110"/>
        <v>3725.5679999999998</v>
      </c>
    </row>
    <row r="359" spans="1:14" outlineLevel="1" x14ac:dyDescent="0.25">
      <c r="A359" s="104" t="s">
        <v>199</v>
      </c>
      <c r="B359" s="63">
        <v>7</v>
      </c>
      <c r="C359" s="105" t="s">
        <v>3</v>
      </c>
      <c r="D359" s="5" t="s">
        <v>486</v>
      </c>
      <c r="E359" s="308">
        <f t="shared" si="105"/>
        <v>23</v>
      </c>
      <c r="F359" s="45">
        <f t="shared" si="102"/>
        <v>168</v>
      </c>
      <c r="G359" s="303">
        <f t="shared" si="106"/>
        <v>3864</v>
      </c>
      <c r="H359" s="114">
        <f t="shared" si="107"/>
        <v>309.12000000000006</v>
      </c>
      <c r="I359" s="114">
        <f t="shared" si="108"/>
        <v>185.47200000000001</v>
      </c>
      <c r="J359" s="114">
        <f t="shared" si="103"/>
        <v>309.12000000000006</v>
      </c>
      <c r="K359" s="114">
        <f t="shared" si="104"/>
        <v>0</v>
      </c>
      <c r="L359" s="224">
        <f t="shared" si="109"/>
        <v>3060.2879999999996</v>
      </c>
      <c r="M359" s="114">
        <f>IFERROR(IF('Payroll 2020'!C359='Payroll 2020'!$A$3,IF('Income Statement 2020'!$J$22&gt;0,'Income Statement 2020'!$J$22*0.1*('Payroll 2020'!G359/SUMIF($C$353:$C$391,$A$3,$G$353:$G$391)),0),0),0)</f>
        <v>0</v>
      </c>
      <c r="N359" s="224">
        <f t="shared" si="110"/>
        <v>3060.2879999999996</v>
      </c>
    </row>
    <row r="360" spans="1:14" outlineLevel="1" x14ac:dyDescent="0.25">
      <c r="A360" s="104" t="s">
        <v>200</v>
      </c>
      <c r="B360" s="63">
        <v>8</v>
      </c>
      <c r="C360" s="105" t="s">
        <v>3</v>
      </c>
      <c r="D360" s="5" t="s">
        <v>486</v>
      </c>
      <c r="E360" s="308">
        <f t="shared" si="105"/>
        <v>23</v>
      </c>
      <c r="F360" s="45">
        <f t="shared" si="102"/>
        <v>168</v>
      </c>
      <c r="G360" s="303">
        <f t="shared" si="106"/>
        <v>3864</v>
      </c>
      <c r="H360" s="114">
        <f t="shared" si="107"/>
        <v>309.12000000000006</v>
      </c>
      <c r="I360" s="114">
        <f t="shared" si="108"/>
        <v>185.47200000000001</v>
      </c>
      <c r="J360" s="114">
        <f t="shared" si="103"/>
        <v>309.12000000000006</v>
      </c>
      <c r="K360" s="114">
        <f t="shared" si="104"/>
        <v>0</v>
      </c>
      <c r="L360" s="224">
        <f t="shared" si="109"/>
        <v>3060.2879999999996</v>
      </c>
      <c r="M360" s="114">
        <f>IFERROR(IF('Payroll 2020'!C360='Payroll 2020'!$A$3,IF('Income Statement 2020'!$J$22&gt;0,'Income Statement 2020'!$J$22*0.1*('Payroll 2020'!G360/SUMIF($C$353:$C$391,$A$3,$G$353:$G$391)),0),0),0)</f>
        <v>0</v>
      </c>
      <c r="N360" s="224">
        <f t="shared" si="110"/>
        <v>3060.2879999999996</v>
      </c>
    </row>
    <row r="361" spans="1:14" outlineLevel="1" x14ac:dyDescent="0.25">
      <c r="A361" s="18" t="s">
        <v>184</v>
      </c>
      <c r="B361" s="63">
        <v>9</v>
      </c>
      <c r="C361" s="5" t="s">
        <v>3</v>
      </c>
      <c r="D361" s="5" t="s">
        <v>487</v>
      </c>
      <c r="E361" s="308">
        <f t="shared" si="105"/>
        <v>18</v>
      </c>
      <c r="F361" s="45">
        <f t="shared" si="102"/>
        <v>168</v>
      </c>
      <c r="G361" s="303">
        <f t="shared" si="106"/>
        <v>3024</v>
      </c>
      <c r="H361" s="114">
        <f t="shared" si="107"/>
        <v>241.92000000000004</v>
      </c>
      <c r="I361" s="114">
        <f t="shared" si="108"/>
        <v>145.15200000000002</v>
      </c>
      <c r="J361" s="114">
        <f t="shared" si="103"/>
        <v>241.92000000000004</v>
      </c>
      <c r="K361" s="114">
        <f t="shared" si="104"/>
        <v>0</v>
      </c>
      <c r="L361" s="224">
        <f t="shared" si="109"/>
        <v>2395.0079999999998</v>
      </c>
      <c r="M361" s="114">
        <f>IFERROR(IF('Payroll 2020'!C361='Payroll 2020'!$A$3,IF('Income Statement 2020'!$J$22&gt;0,'Income Statement 2020'!$J$22*0.1*('Payroll 2020'!G361/SUMIF($C$353:$C$391,$A$3,$G$353:$G$391)),0),0),0)</f>
        <v>0</v>
      </c>
      <c r="N361" s="224">
        <f t="shared" si="110"/>
        <v>2395.0079999999998</v>
      </c>
    </row>
    <row r="362" spans="1:14" outlineLevel="1" x14ac:dyDescent="0.25">
      <c r="A362" s="18" t="s">
        <v>186</v>
      </c>
      <c r="B362" s="63">
        <v>10</v>
      </c>
      <c r="C362" s="5" t="s">
        <v>3</v>
      </c>
      <c r="D362" s="5" t="s">
        <v>486</v>
      </c>
      <c r="E362" s="308">
        <f t="shared" si="105"/>
        <v>23</v>
      </c>
      <c r="F362" s="45">
        <f t="shared" si="102"/>
        <v>168</v>
      </c>
      <c r="G362" s="303">
        <f t="shared" si="106"/>
        <v>3864</v>
      </c>
      <c r="H362" s="114">
        <f t="shared" si="107"/>
        <v>309.12000000000006</v>
      </c>
      <c r="I362" s="114">
        <f t="shared" si="108"/>
        <v>185.47200000000001</v>
      </c>
      <c r="J362" s="114">
        <f t="shared" si="103"/>
        <v>309.12000000000006</v>
      </c>
      <c r="K362" s="114">
        <f t="shared" si="104"/>
        <v>0</v>
      </c>
      <c r="L362" s="224">
        <f t="shared" si="109"/>
        <v>3060.2879999999996</v>
      </c>
      <c r="M362" s="114">
        <f>IFERROR(IF('Payroll 2020'!C362='Payroll 2020'!$A$3,IF('Income Statement 2020'!$J$22&gt;0,'Income Statement 2020'!$J$22*0.1*('Payroll 2020'!G362/SUMIF($C$353:$C$391,$A$3,$G$353:$G$391)),0),0),0)</f>
        <v>0</v>
      </c>
      <c r="N362" s="224">
        <f t="shared" si="110"/>
        <v>3060.2879999999996</v>
      </c>
    </row>
    <row r="363" spans="1:14" outlineLevel="1" x14ac:dyDescent="0.25">
      <c r="A363" s="18" t="s">
        <v>187</v>
      </c>
      <c r="B363" s="63">
        <v>11</v>
      </c>
      <c r="C363" s="5"/>
      <c r="D363" s="5" t="s">
        <v>486</v>
      </c>
      <c r="E363" s="308">
        <f t="shared" si="105"/>
        <v>40</v>
      </c>
      <c r="F363" s="45">
        <f t="shared" si="102"/>
        <v>0</v>
      </c>
      <c r="G363" s="224">
        <f t="shared" si="106"/>
        <v>0</v>
      </c>
      <c r="H363" s="114">
        <f t="shared" si="107"/>
        <v>0</v>
      </c>
      <c r="I363" s="114">
        <f t="shared" si="108"/>
        <v>0</v>
      </c>
      <c r="J363" s="114">
        <f t="shared" si="103"/>
        <v>0</v>
      </c>
      <c r="K363" s="114">
        <f t="shared" si="104"/>
        <v>0</v>
      </c>
      <c r="L363" s="224">
        <f t="shared" si="109"/>
        <v>0</v>
      </c>
      <c r="M363" s="114">
        <f>IFERROR(IF('Payroll 2020'!C363='Payroll 2020'!$A$3,IF('Income Statement 2020'!$J$22&gt;0,'Income Statement 2020'!$J$22*0.1*('Payroll 2020'!G363/SUMIF($C$353:$C$391,$A$3,$G$353:$G$391)),0),0),0)</f>
        <v>0</v>
      </c>
      <c r="N363" s="224">
        <f t="shared" si="110"/>
        <v>0</v>
      </c>
    </row>
    <row r="364" spans="1:14" outlineLevel="1" x14ac:dyDescent="0.25">
      <c r="A364" s="18" t="s">
        <v>201</v>
      </c>
      <c r="B364" s="63">
        <v>12</v>
      </c>
      <c r="C364" s="5"/>
      <c r="D364" s="5" t="s">
        <v>486</v>
      </c>
      <c r="E364" s="308">
        <f t="shared" si="105"/>
        <v>40</v>
      </c>
      <c r="F364" s="45">
        <f t="shared" si="102"/>
        <v>0</v>
      </c>
      <c r="G364" s="224">
        <f t="shared" si="106"/>
        <v>0</v>
      </c>
      <c r="H364" s="114">
        <f t="shared" si="107"/>
        <v>0</v>
      </c>
      <c r="I364" s="114">
        <f t="shared" si="108"/>
        <v>0</v>
      </c>
      <c r="J364" s="114">
        <f t="shared" si="103"/>
        <v>0</v>
      </c>
      <c r="K364" s="114">
        <f t="shared" si="104"/>
        <v>0</v>
      </c>
      <c r="L364" s="224">
        <f t="shared" si="109"/>
        <v>0</v>
      </c>
      <c r="M364" s="114">
        <f>IFERROR(IF('Payroll 2020'!C364='Payroll 2020'!$A$3,IF('Income Statement 2020'!$J$22&gt;0,'Income Statement 2020'!$J$22*0.1*('Payroll 2020'!G364/SUMIF($C$353:$C$391,$A$3,$G$353:$G$391)),0),0),0)</f>
        <v>0</v>
      </c>
      <c r="N364" s="224">
        <f t="shared" si="110"/>
        <v>0</v>
      </c>
    </row>
    <row r="365" spans="1:14" outlineLevel="1" x14ac:dyDescent="0.25">
      <c r="A365" s="18" t="s">
        <v>189</v>
      </c>
      <c r="B365" s="63">
        <v>13</v>
      </c>
      <c r="C365" s="5"/>
      <c r="D365" s="5" t="s">
        <v>486</v>
      </c>
      <c r="E365" s="308">
        <f t="shared" si="105"/>
        <v>30</v>
      </c>
      <c r="F365" s="45">
        <f t="shared" si="102"/>
        <v>0</v>
      </c>
      <c r="G365" s="224">
        <f t="shared" si="106"/>
        <v>0</v>
      </c>
      <c r="H365" s="114">
        <f t="shared" si="107"/>
        <v>0</v>
      </c>
      <c r="I365" s="114">
        <f t="shared" si="108"/>
        <v>0</v>
      </c>
      <c r="J365" s="114">
        <f t="shared" si="103"/>
        <v>0</v>
      </c>
      <c r="K365" s="114">
        <f t="shared" si="104"/>
        <v>0</v>
      </c>
      <c r="L365" s="224">
        <f t="shared" si="109"/>
        <v>0</v>
      </c>
      <c r="M365" s="114">
        <f>IFERROR(IF('Payroll 2020'!C365='Payroll 2020'!$A$3,IF('Income Statement 2020'!$J$22&gt;0,'Income Statement 2020'!$J$22*0.1*('Payroll 2020'!G365/SUMIF($C$353:$C$391,$A$3,$G$353:$G$391)),0),0),0)</f>
        <v>0</v>
      </c>
      <c r="N365" s="224">
        <f t="shared" si="110"/>
        <v>0</v>
      </c>
    </row>
    <row r="366" spans="1:14" outlineLevel="1" x14ac:dyDescent="0.25">
      <c r="A366" s="18" t="s">
        <v>190</v>
      </c>
      <c r="B366" s="63">
        <v>14</v>
      </c>
      <c r="C366" s="5" t="s">
        <v>5</v>
      </c>
      <c r="D366" s="5" t="s">
        <v>487</v>
      </c>
      <c r="E366" s="308">
        <f t="shared" si="105"/>
        <v>7.5</v>
      </c>
      <c r="F366" s="45">
        <v>168</v>
      </c>
      <c r="G366" s="224">
        <f t="shared" si="106"/>
        <v>1260</v>
      </c>
      <c r="H366" s="114"/>
      <c r="I366" s="114"/>
      <c r="J366" s="114"/>
      <c r="K366" s="114"/>
      <c r="L366" s="224">
        <f t="shared" si="109"/>
        <v>1260</v>
      </c>
      <c r="M366" s="114">
        <f>IFERROR(IF('Payroll 2020'!C366='Payroll 2020'!$A$3,IF('Income Statement 2020'!$J$22&gt;0,'Income Statement 2020'!$J$22*0.1*('Payroll 2020'!G366/SUMIF($C$353:$C$391,$A$3,$G$353:$G$391)),0),0),0)</f>
        <v>0</v>
      </c>
      <c r="N366" s="224">
        <f t="shared" si="110"/>
        <v>1260</v>
      </c>
    </row>
    <row r="367" spans="1:14" outlineLevel="1" x14ac:dyDescent="0.25">
      <c r="A367" s="18" t="s">
        <v>191</v>
      </c>
      <c r="B367" s="63">
        <v>15</v>
      </c>
      <c r="C367" s="5" t="s">
        <v>5</v>
      </c>
      <c r="D367" s="5" t="s">
        <v>486</v>
      </c>
      <c r="E367" s="308">
        <f t="shared" si="105"/>
        <v>10</v>
      </c>
      <c r="F367" s="45">
        <v>168</v>
      </c>
      <c r="G367" s="224">
        <f t="shared" si="106"/>
        <v>1680</v>
      </c>
      <c r="H367" s="114"/>
      <c r="I367" s="114"/>
      <c r="J367" s="114"/>
      <c r="K367" s="114"/>
      <c r="L367" s="224">
        <f t="shared" si="109"/>
        <v>1680</v>
      </c>
      <c r="M367" s="114">
        <f>IFERROR(IF('Payroll 2020'!C367='Payroll 2020'!$A$3,IF('Income Statement 2020'!$J$22&gt;0,'Income Statement 2020'!$J$22*0.1*('Payroll 2020'!G367/SUMIF($C$353:$C$391,$A$3,$G$353:$G$391)),0),0),0)</f>
        <v>0</v>
      </c>
      <c r="N367" s="224">
        <f t="shared" si="110"/>
        <v>1680</v>
      </c>
    </row>
    <row r="368" spans="1:14" outlineLevel="1" x14ac:dyDescent="0.25">
      <c r="A368" s="18" t="s">
        <v>192</v>
      </c>
      <c r="B368" s="63">
        <v>16</v>
      </c>
      <c r="C368" s="5" t="s">
        <v>5</v>
      </c>
      <c r="D368" s="5" t="s">
        <v>486</v>
      </c>
      <c r="E368" s="308">
        <f t="shared" si="105"/>
        <v>7.5</v>
      </c>
      <c r="F368" s="45">
        <v>168</v>
      </c>
      <c r="G368" s="224">
        <f t="shared" si="106"/>
        <v>1260</v>
      </c>
      <c r="H368" s="114"/>
      <c r="I368" s="114"/>
      <c r="J368" s="114"/>
      <c r="K368" s="114"/>
      <c r="L368" s="224">
        <f t="shared" si="109"/>
        <v>1260</v>
      </c>
      <c r="M368" s="114">
        <f>IFERROR(IF('Payroll 2020'!C368='Payroll 2020'!$A$3,IF('Income Statement 2020'!$J$22&gt;0,'Income Statement 2020'!$J$22*0.1*('Payroll 2020'!G368/SUMIF($C$353:$C$391,$A$3,$G$353:$G$391)),0),0),0)</f>
        <v>0</v>
      </c>
      <c r="N368" s="224">
        <f t="shared" si="110"/>
        <v>1260</v>
      </c>
    </row>
    <row r="369" spans="1:14" outlineLevel="1" x14ac:dyDescent="0.25">
      <c r="A369" s="18" t="s">
        <v>196</v>
      </c>
      <c r="B369" s="63">
        <v>17</v>
      </c>
      <c r="C369" s="5" t="s">
        <v>5</v>
      </c>
      <c r="D369" s="5" t="s">
        <v>486</v>
      </c>
      <c r="E369" s="308">
        <f t="shared" si="105"/>
        <v>7.5</v>
      </c>
      <c r="F369" s="45">
        <v>168</v>
      </c>
      <c r="G369" s="224">
        <f t="shared" si="106"/>
        <v>1260</v>
      </c>
      <c r="H369" s="114"/>
      <c r="I369" s="114"/>
      <c r="J369" s="114"/>
      <c r="K369" s="114"/>
      <c r="L369" s="224">
        <f t="shared" si="109"/>
        <v>1260</v>
      </c>
      <c r="M369" s="114">
        <f>IFERROR(IF('Payroll 2020'!C369='Payroll 2020'!$A$3,IF('Income Statement 2020'!$J$22&gt;0,'Income Statement 2020'!$J$22*0.1*('Payroll 2020'!G369/SUMIF($C$353:$C$391,$A$3,$G$353:$G$391)),0),0),0)</f>
        <v>0</v>
      </c>
      <c r="N369" s="224">
        <f t="shared" si="110"/>
        <v>1260</v>
      </c>
    </row>
    <row r="370" spans="1:14" outlineLevel="1" x14ac:dyDescent="0.25">
      <c r="A370" s="18" t="s">
        <v>193</v>
      </c>
      <c r="B370" s="63">
        <v>18</v>
      </c>
      <c r="C370" s="5"/>
      <c r="D370" s="5" t="s">
        <v>486</v>
      </c>
      <c r="E370" s="308">
        <f t="shared" si="105"/>
        <v>22</v>
      </c>
      <c r="F370" s="45">
        <f>IF(C370=$A$3,$C$3*NETWORKDAYS($C$350,$E$350),0)</f>
        <v>0</v>
      </c>
      <c r="G370" s="224">
        <f t="shared" si="106"/>
        <v>0</v>
      </c>
      <c r="H370" s="114">
        <f t="shared" si="107"/>
        <v>0</v>
      </c>
      <c r="I370" s="114">
        <f t="shared" si="108"/>
        <v>0</v>
      </c>
      <c r="J370" s="114">
        <f>IF(C370=$A$3,G370*$J$37,0)</f>
        <v>0</v>
      </c>
      <c r="K370" s="114">
        <f>IF(C370=$A$3,G370*$K$37,0)</f>
        <v>0</v>
      </c>
      <c r="L370" s="224">
        <f t="shared" si="109"/>
        <v>0</v>
      </c>
      <c r="M370" s="114">
        <f>IFERROR(IF('Payroll 2020'!C370='Payroll 2020'!$A$3,IF('Income Statement 2020'!$J$22&gt;0,'Income Statement 2020'!$J$22*0.1*('Payroll 2020'!G370/SUMIF($C$353:$C$391,$A$3,$G$353:$G$391)),0),0),0)</f>
        <v>0</v>
      </c>
      <c r="N370" s="224">
        <f t="shared" si="110"/>
        <v>0</v>
      </c>
    </row>
    <row r="371" spans="1:14" outlineLevel="1" x14ac:dyDescent="0.25">
      <c r="A371" s="18" t="s">
        <v>194</v>
      </c>
      <c r="B371" s="63">
        <v>19</v>
      </c>
      <c r="C371" s="5"/>
      <c r="D371" s="5" t="s">
        <v>486</v>
      </c>
      <c r="E371" s="308">
        <f t="shared" si="105"/>
        <v>25</v>
      </c>
      <c r="F371" s="45">
        <f>IF(C371=$A$3,$C$3*NETWORKDAYS($C$350,$E$350),0)</f>
        <v>0</v>
      </c>
      <c r="G371" s="224">
        <f t="shared" si="106"/>
        <v>0</v>
      </c>
      <c r="H371" s="114">
        <f t="shared" si="107"/>
        <v>0</v>
      </c>
      <c r="I371" s="114">
        <f t="shared" si="108"/>
        <v>0</v>
      </c>
      <c r="J371" s="114">
        <f>IF(C371=$A$3,G371*$J$37,0)</f>
        <v>0</v>
      </c>
      <c r="K371" s="114">
        <f>IF(C371=$A$3,G371*$K$37,0)</f>
        <v>0</v>
      </c>
      <c r="L371" s="224">
        <f t="shared" si="109"/>
        <v>0</v>
      </c>
      <c r="M371" s="114">
        <f>IFERROR(IF('Payroll 2020'!C371='Payroll 2020'!$A$3,IF('Income Statement 2020'!$J$22&gt;0,'Income Statement 2020'!$J$22*0.1*('Payroll 2020'!G371/SUMIF($C$353:$C$391,$A$3,$G$353:$G$391)),0),0),0)</f>
        <v>0</v>
      </c>
      <c r="N371" s="224">
        <f t="shared" si="110"/>
        <v>0</v>
      </c>
    </row>
    <row r="372" spans="1:14" outlineLevel="1" x14ac:dyDescent="0.25">
      <c r="A372" s="18" t="s">
        <v>202</v>
      </c>
      <c r="B372" s="63">
        <v>20</v>
      </c>
      <c r="C372" s="5"/>
      <c r="D372" s="5" t="s">
        <v>486</v>
      </c>
      <c r="E372" s="308">
        <f t="shared" si="105"/>
        <v>20</v>
      </c>
      <c r="F372" s="45">
        <f>IF(C372=$A$3,$C$3*NETWORKDAYS($C$350,$E$350),0)</f>
        <v>0</v>
      </c>
      <c r="G372" s="224">
        <f t="shared" si="106"/>
        <v>0</v>
      </c>
      <c r="H372" s="114">
        <f t="shared" si="107"/>
        <v>0</v>
      </c>
      <c r="I372" s="114">
        <f t="shared" si="108"/>
        <v>0</v>
      </c>
      <c r="J372" s="114">
        <f>IF(C372=$A$3,G372*$J$37,0)</f>
        <v>0</v>
      </c>
      <c r="K372" s="114">
        <f>IF(C372=$A$3,G372*$K$37,0)</f>
        <v>0</v>
      </c>
      <c r="L372" s="224">
        <f t="shared" si="109"/>
        <v>0</v>
      </c>
      <c r="M372" s="114">
        <f>IFERROR(IF('Payroll 2020'!C372='Payroll 2020'!$A$3,IF('Income Statement 2020'!$J$22&gt;0,'Income Statement 2020'!$J$22*0.1*('Payroll 2020'!G372/SUMIF($C$353:$C$391,$A$3,$G$353:$G$391)),0),0),0)</f>
        <v>0</v>
      </c>
      <c r="N372" s="224">
        <f t="shared" si="110"/>
        <v>0</v>
      </c>
    </row>
    <row r="373" spans="1:14" outlineLevel="1" x14ac:dyDescent="0.25">
      <c r="A373" s="18" t="s">
        <v>195</v>
      </c>
      <c r="B373" s="63">
        <v>21</v>
      </c>
      <c r="C373" s="5"/>
      <c r="D373" s="5" t="s">
        <v>487</v>
      </c>
      <c r="E373" s="308">
        <f t="shared" si="105"/>
        <v>7.5</v>
      </c>
      <c r="F373" s="45">
        <v>168</v>
      </c>
      <c r="G373" s="224">
        <f t="shared" si="106"/>
        <v>1260</v>
      </c>
      <c r="H373" s="114"/>
      <c r="I373" s="114"/>
      <c r="J373" s="114"/>
      <c r="K373" s="114"/>
      <c r="L373" s="224">
        <f t="shared" si="109"/>
        <v>1260</v>
      </c>
      <c r="M373" s="114">
        <f>IFERROR(IF('Payroll 2020'!C373='Payroll 2020'!$A$3,IF('Income Statement 2020'!$J$22&gt;0,'Income Statement 2020'!$J$22*0.1*('Payroll 2020'!G373/SUMIF($C$353:$C$391,$A$3,$G$353:$G$391)),0),0),0)</f>
        <v>0</v>
      </c>
      <c r="N373" s="224">
        <f t="shared" si="110"/>
        <v>1260</v>
      </c>
    </row>
    <row r="374" spans="1:14" outlineLevel="1" x14ac:dyDescent="0.25">
      <c r="A374" s="18" t="s">
        <v>197</v>
      </c>
      <c r="B374" s="63">
        <v>22</v>
      </c>
      <c r="C374" s="5"/>
      <c r="D374" s="5" t="s">
        <v>486</v>
      </c>
      <c r="E374" s="308">
        <f t="shared" si="105"/>
        <v>10</v>
      </c>
      <c r="F374" s="45">
        <v>168</v>
      </c>
      <c r="G374" s="224">
        <f t="shared" si="106"/>
        <v>1680</v>
      </c>
      <c r="H374" s="114"/>
      <c r="I374" s="114"/>
      <c r="J374" s="114"/>
      <c r="K374" s="114"/>
      <c r="L374" s="224">
        <f t="shared" si="109"/>
        <v>1680</v>
      </c>
      <c r="M374" s="114">
        <f>IFERROR(IF('Payroll 2020'!C374='Payroll 2020'!$A$3,IF('Income Statement 2020'!$J$22&gt;0,'Income Statement 2020'!$J$22*0.1*('Payroll 2020'!G374/SUMIF($C$353:$C$391,$A$3,$G$353:$G$391)),0),0),0)</f>
        <v>0</v>
      </c>
      <c r="N374" s="224">
        <f t="shared" si="110"/>
        <v>1680</v>
      </c>
    </row>
    <row r="375" spans="1:14" outlineLevel="1" x14ac:dyDescent="0.25">
      <c r="A375" s="18" t="s">
        <v>205</v>
      </c>
      <c r="B375" s="63">
        <v>23</v>
      </c>
      <c r="C375" s="5"/>
      <c r="D375" s="5" t="s">
        <v>486</v>
      </c>
      <c r="E375" s="308">
        <f t="shared" si="105"/>
        <v>7.5</v>
      </c>
      <c r="F375" s="45">
        <v>168</v>
      </c>
      <c r="G375" s="224">
        <f t="shared" si="106"/>
        <v>1260</v>
      </c>
      <c r="H375" s="114"/>
      <c r="I375" s="114"/>
      <c r="J375" s="114"/>
      <c r="K375" s="114"/>
      <c r="L375" s="224">
        <f t="shared" si="109"/>
        <v>1260</v>
      </c>
      <c r="M375" s="114">
        <f>IFERROR(IF('Payroll 2020'!C375='Payroll 2020'!$A$3,IF('Income Statement 2020'!$J$22&gt;0,'Income Statement 2020'!$J$22*0.1*('Payroll 2020'!G375/SUMIF($C$353:$C$391,$A$3,$G$353:$G$391)),0),0),0)</f>
        <v>0</v>
      </c>
      <c r="N375" s="224">
        <f t="shared" si="110"/>
        <v>1260</v>
      </c>
    </row>
    <row r="376" spans="1:14" outlineLevel="1" x14ac:dyDescent="0.25">
      <c r="A376" s="18" t="s">
        <v>204</v>
      </c>
      <c r="B376" s="63">
        <v>24</v>
      </c>
      <c r="C376" s="5"/>
      <c r="D376" s="5" t="s">
        <v>486</v>
      </c>
      <c r="E376" s="308">
        <f t="shared" si="105"/>
        <v>7.5</v>
      </c>
      <c r="F376" s="45">
        <v>168</v>
      </c>
      <c r="G376" s="224">
        <f t="shared" si="106"/>
        <v>1260</v>
      </c>
      <c r="H376" s="114"/>
      <c r="I376" s="114"/>
      <c r="J376" s="114"/>
      <c r="K376" s="114"/>
      <c r="L376" s="224">
        <f t="shared" si="109"/>
        <v>1260</v>
      </c>
      <c r="M376" s="114">
        <f>IFERROR(IF('Payroll 2020'!C376='Payroll 2020'!$A$3,IF('Income Statement 2020'!$J$22&gt;0,'Income Statement 2020'!$J$22*0.1*('Payroll 2020'!G376/SUMIF($C$353:$C$391,$A$3,$G$353:$G$391)),0),0),0)</f>
        <v>0</v>
      </c>
      <c r="N376" s="224">
        <f t="shared" si="110"/>
        <v>1260</v>
      </c>
    </row>
    <row r="377" spans="1:14" outlineLevel="1" x14ac:dyDescent="0.25">
      <c r="A377" s="17" t="s">
        <v>207</v>
      </c>
      <c r="B377" s="63">
        <v>25</v>
      </c>
      <c r="C377" s="8"/>
      <c r="D377" s="5" t="s">
        <v>486</v>
      </c>
      <c r="E377" s="124">
        <f>E375</f>
        <v>7.5</v>
      </c>
      <c r="F377" s="45">
        <v>168</v>
      </c>
      <c r="G377" s="224">
        <f t="shared" si="106"/>
        <v>1260</v>
      </c>
      <c r="H377" s="114"/>
      <c r="I377" s="114"/>
      <c r="J377" s="114"/>
      <c r="K377" s="114"/>
      <c r="L377" s="224">
        <f t="shared" si="109"/>
        <v>1260</v>
      </c>
      <c r="M377" s="114">
        <f>IFERROR(IF('Payroll 2020'!C377='Payroll 2020'!$A$3,IF('Income Statement 2020'!$J$22&gt;0,'Income Statement 2020'!$J$22*0.1*('Payroll 2020'!G377/SUMIF($C$353:$C$391,$A$3,$G$353:$G$391)),0),0),0)</f>
        <v>0</v>
      </c>
      <c r="N377" s="224">
        <f t="shared" si="110"/>
        <v>1260</v>
      </c>
    </row>
    <row r="378" spans="1:14" outlineLevel="1" x14ac:dyDescent="0.25">
      <c r="A378" s="17" t="s">
        <v>206</v>
      </c>
      <c r="B378" s="63">
        <v>26</v>
      </c>
      <c r="C378" s="8"/>
      <c r="D378" s="5" t="s">
        <v>486</v>
      </c>
      <c r="E378" s="124">
        <f>E377</f>
        <v>7.5</v>
      </c>
      <c r="F378" s="45">
        <v>168</v>
      </c>
      <c r="G378" s="224">
        <f t="shared" si="106"/>
        <v>1260</v>
      </c>
      <c r="H378" s="114"/>
      <c r="I378" s="114"/>
      <c r="J378" s="114"/>
      <c r="K378" s="114"/>
      <c r="L378" s="224">
        <f t="shared" si="109"/>
        <v>1260</v>
      </c>
      <c r="M378" s="114">
        <f>IFERROR(IF('Payroll 2020'!C378='Payroll 2020'!$A$3,IF('Income Statement 2020'!$J$22&gt;0,'Income Statement 2020'!$J$22*0.1*('Payroll 2020'!G378/SUMIF($C$353:$C$391,$A$3,$G$353:$G$391)),0),0),0)</f>
        <v>0</v>
      </c>
      <c r="N378" s="224">
        <f t="shared" si="110"/>
        <v>1260</v>
      </c>
    </row>
    <row r="379" spans="1:14" outlineLevel="1" x14ac:dyDescent="0.25">
      <c r="A379" s="18" t="s">
        <v>245</v>
      </c>
      <c r="B379" s="63">
        <v>27</v>
      </c>
      <c r="C379" s="5" t="s">
        <v>3</v>
      </c>
      <c r="D379" s="5" t="s">
        <v>485</v>
      </c>
      <c r="E379" s="124">
        <f>E334</f>
        <v>30</v>
      </c>
      <c r="F379" s="45">
        <f t="shared" ref="F379:F391" si="111">IF(C379=$A$3,$C$3*NETWORKDAYS($C$350,$E$350),0)</f>
        <v>168</v>
      </c>
      <c r="G379" s="224">
        <f t="shared" si="106"/>
        <v>5040</v>
      </c>
      <c r="H379" s="114">
        <f t="shared" si="107"/>
        <v>403.2000000000001</v>
      </c>
      <c r="I379" s="114">
        <f t="shared" si="108"/>
        <v>241.92000000000002</v>
      </c>
      <c r="J379" s="114">
        <f t="shared" ref="J379:J391" si="112">IF(C379=$A$3,G379*$J$37,0)</f>
        <v>403.2000000000001</v>
      </c>
      <c r="K379" s="114">
        <f t="shared" ref="K379:K391" si="113">IF(C379=$A$3,G379*$K$37,0)</f>
        <v>0</v>
      </c>
      <c r="L379" s="224">
        <f t="shared" si="109"/>
        <v>3991.68</v>
      </c>
      <c r="M379" s="114">
        <f>IFERROR(IF('Payroll 2020'!C379='Payroll 2020'!$A$3,IF('Income Statement 2020'!$J$22&gt;0,'Income Statement 2020'!$J$22*0.1*('Payroll 2020'!G379/SUMIF($C$353:$C$391,$A$3,$G$353:$G$391)),0),0),0)</f>
        <v>0</v>
      </c>
      <c r="N379" s="224">
        <f t="shared" si="110"/>
        <v>3991.68</v>
      </c>
    </row>
    <row r="380" spans="1:14" outlineLevel="1" x14ac:dyDescent="0.25">
      <c r="A380" s="18" t="s">
        <v>230</v>
      </c>
      <c r="B380" s="63">
        <v>28</v>
      </c>
      <c r="C380" s="5"/>
      <c r="D380" s="5" t="s">
        <v>485</v>
      </c>
      <c r="E380" s="124">
        <f t="shared" ref="E380:E381" si="114">E335</f>
        <v>23</v>
      </c>
      <c r="F380" s="45">
        <f t="shared" si="111"/>
        <v>0</v>
      </c>
      <c r="G380" s="224">
        <f t="shared" si="106"/>
        <v>0</v>
      </c>
      <c r="H380" s="114">
        <f t="shared" si="107"/>
        <v>0</v>
      </c>
      <c r="I380" s="114">
        <f t="shared" si="108"/>
        <v>0</v>
      </c>
      <c r="J380" s="114">
        <f t="shared" si="112"/>
        <v>0</v>
      </c>
      <c r="K380" s="114">
        <f t="shared" si="113"/>
        <v>0</v>
      </c>
      <c r="L380" s="224">
        <f t="shared" si="109"/>
        <v>0</v>
      </c>
      <c r="M380" s="114">
        <f>IFERROR(IF('Payroll 2020'!C380='Payroll 2020'!$A$3,IF('Income Statement 2020'!$J$22&gt;0,'Income Statement 2020'!$J$22*0.1*('Payroll 2020'!G380/SUMIF($C$353:$C$391,$A$3,$G$353:$G$391)),0),0),0)</f>
        <v>0</v>
      </c>
      <c r="N380" s="224">
        <f t="shared" si="110"/>
        <v>0</v>
      </c>
    </row>
    <row r="381" spans="1:14" outlineLevel="1" x14ac:dyDescent="0.25">
      <c r="A381" s="18" t="s">
        <v>231</v>
      </c>
      <c r="B381" s="63">
        <v>29</v>
      </c>
      <c r="C381" s="5"/>
      <c r="D381" s="5" t="s">
        <v>485</v>
      </c>
      <c r="E381" s="124">
        <f t="shared" si="114"/>
        <v>17</v>
      </c>
      <c r="F381" s="45">
        <f t="shared" si="111"/>
        <v>0</v>
      </c>
      <c r="G381" s="224">
        <f t="shared" si="106"/>
        <v>0</v>
      </c>
      <c r="H381" s="114">
        <f t="shared" si="107"/>
        <v>0</v>
      </c>
      <c r="I381" s="114">
        <f t="shared" si="108"/>
        <v>0</v>
      </c>
      <c r="J381" s="114">
        <f t="shared" si="112"/>
        <v>0</v>
      </c>
      <c r="K381" s="114">
        <f t="shared" si="113"/>
        <v>0</v>
      </c>
      <c r="L381" s="224">
        <f t="shared" si="109"/>
        <v>0</v>
      </c>
      <c r="M381" s="114">
        <f>IFERROR(IF('Payroll 2020'!C381='Payroll 2020'!$A$3,IF('Income Statement 2020'!$J$22&gt;0,'Income Statement 2020'!$J$22*0.1*('Payroll 2020'!G381/SUMIF($C$353:$C$391,$A$3,$G$353:$G$391)),0),0),0)</f>
        <v>0</v>
      </c>
      <c r="N381" s="224">
        <f t="shared" si="110"/>
        <v>0</v>
      </c>
    </row>
    <row r="382" spans="1:14" outlineLevel="1" x14ac:dyDescent="0.25">
      <c r="A382" s="18" t="s">
        <v>231</v>
      </c>
      <c r="B382" s="63">
        <v>30</v>
      </c>
      <c r="C382" s="5" t="s">
        <v>3</v>
      </c>
      <c r="D382" s="5" t="s">
        <v>485</v>
      </c>
      <c r="E382" s="124">
        <f>E381</f>
        <v>17</v>
      </c>
      <c r="F382" s="45">
        <f t="shared" si="111"/>
        <v>168</v>
      </c>
      <c r="G382" s="224">
        <f t="shared" si="106"/>
        <v>2856</v>
      </c>
      <c r="H382" s="114">
        <f t="shared" si="107"/>
        <v>228.48000000000005</v>
      </c>
      <c r="I382" s="114">
        <f t="shared" si="108"/>
        <v>137.08799999999999</v>
      </c>
      <c r="J382" s="114">
        <f t="shared" si="112"/>
        <v>228.48000000000005</v>
      </c>
      <c r="K382" s="114">
        <f t="shared" si="113"/>
        <v>0</v>
      </c>
      <c r="L382" s="224">
        <f t="shared" si="109"/>
        <v>2261.9519999999998</v>
      </c>
      <c r="M382" s="114">
        <f>IFERROR(IF('Payroll 2020'!C382='Payroll 2020'!$A$3,IF('Income Statement 2020'!$J$22&gt;0,'Income Statement 2020'!$J$22*0.1*('Payroll 2020'!G382/SUMIF($C$353:$C$391,$A$3,$G$353:$G$391)),0),0),0)</f>
        <v>0</v>
      </c>
      <c r="N382" s="224">
        <f t="shared" si="110"/>
        <v>2261.9519999999998</v>
      </c>
    </row>
    <row r="383" spans="1:14" outlineLevel="1" x14ac:dyDescent="0.25">
      <c r="A383" s="18"/>
      <c r="B383" s="63">
        <v>31</v>
      </c>
      <c r="E383" s="124"/>
      <c r="F383" s="45">
        <f t="shared" si="111"/>
        <v>0</v>
      </c>
      <c r="G383" s="224">
        <f t="shared" si="106"/>
        <v>0</v>
      </c>
      <c r="H383" s="114">
        <f t="shared" si="107"/>
        <v>0</v>
      </c>
      <c r="I383" s="114">
        <f t="shared" si="108"/>
        <v>0</v>
      </c>
      <c r="J383" s="114">
        <f t="shared" si="112"/>
        <v>0</v>
      </c>
      <c r="K383" s="114">
        <f t="shared" si="113"/>
        <v>0</v>
      </c>
      <c r="L383" s="224">
        <f t="shared" si="109"/>
        <v>0</v>
      </c>
      <c r="M383" s="114">
        <f>IFERROR(IF('Payroll 2020'!C383='Payroll 2020'!$A$3,IF('Income Statement 2020'!$J$22&gt;0,'Income Statement 2020'!$J$22*0.1*('Payroll 2020'!G383/SUMIF($C$353:$C$391,$A$3,$G$353:$G$391)),0),0),0)</f>
        <v>0</v>
      </c>
      <c r="N383" s="224">
        <f t="shared" si="110"/>
        <v>0</v>
      </c>
    </row>
    <row r="384" spans="1:14" outlineLevel="1" x14ac:dyDescent="0.25">
      <c r="A384" s="18"/>
      <c r="B384" s="63">
        <v>32</v>
      </c>
      <c r="E384" s="124"/>
      <c r="F384" s="45">
        <f t="shared" si="111"/>
        <v>0</v>
      </c>
      <c r="G384" s="224">
        <f t="shared" si="106"/>
        <v>0</v>
      </c>
      <c r="H384" s="114">
        <f t="shared" si="107"/>
        <v>0</v>
      </c>
      <c r="I384" s="114">
        <f t="shared" si="108"/>
        <v>0</v>
      </c>
      <c r="J384" s="114">
        <f t="shared" si="112"/>
        <v>0</v>
      </c>
      <c r="K384" s="114">
        <f t="shared" si="113"/>
        <v>0</v>
      </c>
      <c r="L384" s="224">
        <f t="shared" si="109"/>
        <v>0</v>
      </c>
      <c r="M384" s="114">
        <f>IFERROR(IF('Payroll 2020'!C384='Payroll 2020'!$A$3,IF('Income Statement 2020'!$J$22&gt;0,'Income Statement 2020'!$J$22*0.1*('Payroll 2020'!G384/SUMIF($C$353:$C$391,$A$3,$G$353:$G$391)),0),0),0)</f>
        <v>0</v>
      </c>
      <c r="N384" s="224">
        <f t="shared" si="110"/>
        <v>0</v>
      </c>
    </row>
    <row r="385" spans="1:14" outlineLevel="1" x14ac:dyDescent="0.25">
      <c r="A385" s="18"/>
      <c r="B385" s="63">
        <v>33</v>
      </c>
      <c r="E385" s="124"/>
      <c r="F385" s="45">
        <f t="shared" si="111"/>
        <v>0</v>
      </c>
      <c r="G385" s="224">
        <f t="shared" si="106"/>
        <v>0</v>
      </c>
      <c r="H385" s="114">
        <f t="shared" si="107"/>
        <v>0</v>
      </c>
      <c r="I385" s="114">
        <f t="shared" si="108"/>
        <v>0</v>
      </c>
      <c r="J385" s="114">
        <f t="shared" si="112"/>
        <v>0</v>
      </c>
      <c r="K385" s="114">
        <f t="shared" si="113"/>
        <v>0</v>
      </c>
      <c r="L385" s="224">
        <f t="shared" si="109"/>
        <v>0</v>
      </c>
      <c r="M385" s="114">
        <f>IFERROR(IF('Payroll 2020'!C385='Payroll 2020'!$A$3,IF('Income Statement 2020'!$J$22&gt;0,'Income Statement 2020'!$J$22*0.1*('Payroll 2020'!G385/SUMIF($C$353:$C$391,$A$3,$G$353:$G$391)),0),0),0)</f>
        <v>0</v>
      </c>
      <c r="N385" s="224">
        <f t="shared" si="110"/>
        <v>0</v>
      </c>
    </row>
    <row r="386" spans="1:14" outlineLevel="1" x14ac:dyDescent="0.25">
      <c r="A386" s="18"/>
      <c r="B386" s="63">
        <v>34</v>
      </c>
      <c r="E386" s="124"/>
      <c r="F386" s="45">
        <f t="shared" si="111"/>
        <v>0</v>
      </c>
      <c r="G386" s="224">
        <f t="shared" si="106"/>
        <v>0</v>
      </c>
      <c r="H386" s="114">
        <f t="shared" si="107"/>
        <v>0</v>
      </c>
      <c r="I386" s="114">
        <f t="shared" si="108"/>
        <v>0</v>
      </c>
      <c r="J386" s="114">
        <f t="shared" si="112"/>
        <v>0</v>
      </c>
      <c r="K386" s="114">
        <f t="shared" si="113"/>
        <v>0</v>
      </c>
      <c r="L386" s="224">
        <f t="shared" si="109"/>
        <v>0</v>
      </c>
      <c r="M386" s="114">
        <f>IFERROR(IF('Payroll 2020'!C386='Payroll 2020'!$A$3,IF('Income Statement 2020'!$J$22&gt;0,'Income Statement 2020'!$J$22*0.1*('Payroll 2020'!G386/SUMIF($C$353:$C$391,$A$3,$G$353:$G$391)),0),0),0)</f>
        <v>0</v>
      </c>
      <c r="N386" s="224">
        <f t="shared" si="110"/>
        <v>0</v>
      </c>
    </row>
    <row r="387" spans="1:14" outlineLevel="1" x14ac:dyDescent="0.25">
      <c r="A387" s="18"/>
      <c r="B387" s="63">
        <v>35</v>
      </c>
      <c r="E387" s="124"/>
      <c r="F387" s="45">
        <f t="shared" si="111"/>
        <v>0</v>
      </c>
      <c r="G387" s="224">
        <f t="shared" si="106"/>
        <v>0</v>
      </c>
      <c r="H387" s="114">
        <f t="shared" si="107"/>
        <v>0</v>
      </c>
      <c r="I387" s="114">
        <f t="shared" si="108"/>
        <v>0</v>
      </c>
      <c r="J387" s="114">
        <f t="shared" si="112"/>
        <v>0</v>
      </c>
      <c r="K387" s="114">
        <f t="shared" si="113"/>
        <v>0</v>
      </c>
      <c r="L387" s="224">
        <f t="shared" si="109"/>
        <v>0</v>
      </c>
      <c r="M387" s="114">
        <f>IFERROR(IF('Payroll 2020'!C387='Payroll 2020'!$A$3,IF('Income Statement 2020'!$J$22&gt;0,'Income Statement 2020'!$J$22*0.1*('Payroll 2020'!G387/SUMIF($C$353:$C$391,$A$3,$G$353:$G$391)),0),0),0)</f>
        <v>0</v>
      </c>
      <c r="N387" s="224">
        <f t="shared" si="110"/>
        <v>0</v>
      </c>
    </row>
    <row r="388" spans="1:14" outlineLevel="1" x14ac:dyDescent="0.25">
      <c r="A388" s="18"/>
      <c r="B388" s="63">
        <v>36</v>
      </c>
      <c r="E388" s="124"/>
      <c r="F388" s="45">
        <f t="shared" si="111"/>
        <v>0</v>
      </c>
      <c r="G388" s="224">
        <f t="shared" si="106"/>
        <v>0</v>
      </c>
      <c r="H388" s="114">
        <f t="shared" si="107"/>
        <v>0</v>
      </c>
      <c r="I388" s="114">
        <f t="shared" si="108"/>
        <v>0</v>
      </c>
      <c r="J388" s="114">
        <f t="shared" si="112"/>
        <v>0</v>
      </c>
      <c r="K388" s="114">
        <f t="shared" si="113"/>
        <v>0</v>
      </c>
      <c r="L388" s="224">
        <f t="shared" si="109"/>
        <v>0</v>
      </c>
      <c r="M388" s="114">
        <f>IFERROR(IF('Payroll 2020'!C388='Payroll 2020'!$A$3,IF('Income Statement 2020'!$J$22&gt;0,'Income Statement 2020'!$J$22*0.1*('Payroll 2020'!G388/SUMIF($C$353:$C$391,$A$3,$G$353:$G$391)),0),0),0)</f>
        <v>0</v>
      </c>
      <c r="N388" s="224">
        <f t="shared" si="110"/>
        <v>0</v>
      </c>
    </row>
    <row r="389" spans="1:14" outlineLevel="1" x14ac:dyDescent="0.25">
      <c r="A389" s="18"/>
      <c r="B389" s="63">
        <v>37</v>
      </c>
      <c r="E389" s="124"/>
      <c r="F389" s="45">
        <f t="shared" si="111"/>
        <v>0</v>
      </c>
      <c r="G389" s="224">
        <f t="shared" si="106"/>
        <v>0</v>
      </c>
      <c r="H389" s="114">
        <f t="shared" si="107"/>
        <v>0</v>
      </c>
      <c r="I389" s="114">
        <f t="shared" si="108"/>
        <v>0</v>
      </c>
      <c r="J389" s="114">
        <f t="shared" si="112"/>
        <v>0</v>
      </c>
      <c r="K389" s="114">
        <f t="shared" si="113"/>
        <v>0</v>
      </c>
      <c r="L389" s="224">
        <f t="shared" si="109"/>
        <v>0</v>
      </c>
      <c r="M389" s="114">
        <f>IFERROR(IF('Payroll 2020'!C389='Payroll 2020'!$A$3,IF('Income Statement 2020'!$J$22&gt;0,'Income Statement 2020'!$J$22*0.1*('Payroll 2020'!G389/SUMIF($C$353:$C$391,$A$3,$G$353:$G$391)),0),0),0)</f>
        <v>0</v>
      </c>
      <c r="N389" s="224">
        <f t="shared" si="110"/>
        <v>0</v>
      </c>
    </row>
    <row r="390" spans="1:14" outlineLevel="1" x14ac:dyDescent="0.25">
      <c r="A390" s="18"/>
      <c r="B390" s="63">
        <v>38</v>
      </c>
      <c r="E390" s="124"/>
      <c r="F390" s="45">
        <f t="shared" si="111"/>
        <v>0</v>
      </c>
      <c r="G390" s="224">
        <f t="shared" si="106"/>
        <v>0</v>
      </c>
      <c r="H390" s="114">
        <f t="shared" si="107"/>
        <v>0</v>
      </c>
      <c r="I390" s="114">
        <f t="shared" si="108"/>
        <v>0</v>
      </c>
      <c r="J390" s="114">
        <f t="shared" si="112"/>
        <v>0</v>
      </c>
      <c r="K390" s="114">
        <f t="shared" si="113"/>
        <v>0</v>
      </c>
      <c r="L390" s="224">
        <f t="shared" si="109"/>
        <v>0</v>
      </c>
      <c r="M390" s="114">
        <f>IFERROR(IF('Payroll 2020'!C390='Payroll 2020'!$A$3,IF('Income Statement 2020'!$J$22&gt;0,'Income Statement 2020'!$J$22*0.1*('Payroll 2020'!G390/SUMIF($C$353:$C$391,$A$3,$G$353:$G$391)),0),0),0)</f>
        <v>0</v>
      </c>
      <c r="N390" s="224">
        <f t="shared" si="110"/>
        <v>0</v>
      </c>
    </row>
    <row r="391" spans="1:14" ht="17" outlineLevel="1" thickBot="1" x14ac:dyDescent="0.3">
      <c r="A391" s="19"/>
      <c r="B391" s="126">
        <v>39</v>
      </c>
      <c r="C391" s="16"/>
      <c r="D391" s="16"/>
      <c r="E391" s="310"/>
      <c r="F391" s="46">
        <f t="shared" si="111"/>
        <v>0</v>
      </c>
      <c r="G391" s="306">
        <f t="shared" si="106"/>
        <v>0</v>
      </c>
      <c r="H391" s="305">
        <f t="shared" si="107"/>
        <v>0</v>
      </c>
      <c r="I391" s="305">
        <f t="shared" si="108"/>
        <v>0</v>
      </c>
      <c r="J391" s="305">
        <f t="shared" si="112"/>
        <v>0</v>
      </c>
      <c r="K391" s="305">
        <f t="shared" si="113"/>
        <v>0</v>
      </c>
      <c r="L391" s="306">
        <f t="shared" si="109"/>
        <v>0</v>
      </c>
      <c r="M391" s="305">
        <f>IFERROR(IF('Payroll 2020'!C391='Payroll 2020'!$A$3,IF('Income Statement 2020'!$J$22&gt;0,'Income Statement 2020'!$J$22*0.1*('Payroll 2020'!G391/SUMIF($C$353:$C$391,$A$3,$G$353:$G$391)),0),0),0)</f>
        <v>0</v>
      </c>
      <c r="N391" s="306">
        <f t="shared" si="110"/>
        <v>0</v>
      </c>
    </row>
    <row r="392" spans="1:14" outlineLevel="1" x14ac:dyDescent="0.25">
      <c r="A392" s="2" t="s">
        <v>19</v>
      </c>
      <c r="B392" s="2"/>
      <c r="C392" s="2"/>
      <c r="D392" s="2"/>
      <c r="E392" s="313">
        <f>AVERAGE(E353:E391)</f>
        <v>21.733333333333334</v>
      </c>
      <c r="F392" s="39">
        <f>IFERROR(SUM(F353:F391),"")</f>
        <v>3696</v>
      </c>
      <c r="G392" s="224">
        <f t="shared" ref="G392:N392" si="115">IFERROR(SUM(G353:G391),"")</f>
        <v>73080</v>
      </c>
      <c r="H392" s="224">
        <f t="shared" si="115"/>
        <v>4771.2000000000007</v>
      </c>
      <c r="I392" s="224">
        <f t="shared" si="115"/>
        <v>2862.7200000000003</v>
      </c>
      <c r="J392" s="224">
        <f t="shared" si="115"/>
        <v>4771.2000000000007</v>
      </c>
      <c r="K392" s="224">
        <f t="shared" si="115"/>
        <v>0</v>
      </c>
      <c r="L392" s="224">
        <f t="shared" si="115"/>
        <v>60674.879999999997</v>
      </c>
      <c r="M392" s="224">
        <f t="shared" si="115"/>
        <v>0</v>
      </c>
      <c r="N392" s="224">
        <f t="shared" si="115"/>
        <v>60674.879999999997</v>
      </c>
    </row>
    <row r="393" spans="1:14" outlineLevel="1" x14ac:dyDescent="0.25"/>
    <row r="395" spans="1:14" x14ac:dyDescent="0.25">
      <c r="A395" s="2" t="s">
        <v>28</v>
      </c>
      <c r="B395" s="1" t="s">
        <v>17</v>
      </c>
      <c r="C395" s="20">
        <v>44075</v>
      </c>
      <c r="D395" s="1" t="s">
        <v>18</v>
      </c>
      <c r="E395" s="20">
        <v>44104</v>
      </c>
      <c r="F395" s="1" t="s">
        <v>42</v>
      </c>
      <c r="G395" s="1">
        <f>NETWORKDAYS(C395,E395)</f>
        <v>22</v>
      </c>
    </row>
    <row r="396" spans="1:14" ht="68" outlineLevel="1" x14ac:dyDescent="0.25">
      <c r="A396" s="11" t="s">
        <v>2</v>
      </c>
      <c r="B396" s="10" t="s">
        <v>12</v>
      </c>
      <c r="C396" s="10" t="s">
        <v>1</v>
      </c>
      <c r="D396" s="10" t="s">
        <v>483</v>
      </c>
      <c r="E396" s="10" t="s">
        <v>13</v>
      </c>
      <c r="F396" s="10" t="s">
        <v>15</v>
      </c>
      <c r="G396" s="10" t="str">
        <f>G351</f>
        <v>Monthly Wage including all charges</v>
      </c>
      <c r="H396" s="10" t="str">
        <f t="shared" ref="H396:J396" si="116">H351</f>
        <v>URSSAF</v>
      </c>
      <c r="I396" s="10" t="str">
        <f t="shared" si="116"/>
        <v>Impot à la source</v>
      </c>
      <c r="J396" s="10" t="str">
        <f t="shared" si="116"/>
        <v>Employee Pension</v>
      </c>
      <c r="K396" s="10"/>
      <c r="L396" s="10" t="s">
        <v>14</v>
      </c>
      <c r="M396" s="10" t="s">
        <v>11</v>
      </c>
      <c r="N396" s="10" t="s">
        <v>20</v>
      </c>
    </row>
    <row r="397" spans="1:14" ht="17" outlineLevel="1" thickBot="1" x14ac:dyDescent="0.3">
      <c r="A397" s="12"/>
      <c r="B397" s="13"/>
      <c r="C397" s="13"/>
      <c r="D397" s="13"/>
      <c r="E397" s="13"/>
      <c r="F397" s="13"/>
      <c r="G397" s="314">
        <f>H397+I397+J397</f>
        <v>0.20800000000000002</v>
      </c>
      <c r="H397" s="315">
        <f>H352</f>
        <v>8.0000000000000016E-2</v>
      </c>
      <c r="I397" s="315">
        <f t="shared" ref="I397:J397" si="117">I352</f>
        <v>4.8000000000000001E-2</v>
      </c>
      <c r="J397" s="315">
        <f t="shared" si="117"/>
        <v>8.0000000000000016E-2</v>
      </c>
      <c r="K397" s="14"/>
      <c r="L397" s="15"/>
      <c r="M397" s="14">
        <f>'Payroll 2020-2024'!$L$12</f>
        <v>0.1</v>
      </c>
      <c r="N397" s="15"/>
    </row>
    <row r="398" spans="1:14" outlineLevel="1" x14ac:dyDescent="0.25">
      <c r="A398" s="104" t="s">
        <v>178</v>
      </c>
      <c r="B398" s="63">
        <v>1</v>
      </c>
      <c r="C398" s="105" t="s">
        <v>3</v>
      </c>
      <c r="D398" s="5" t="s">
        <v>484</v>
      </c>
      <c r="E398" s="308">
        <f>E353</f>
        <v>48</v>
      </c>
      <c r="F398" s="45">
        <f t="shared" ref="F398:F410" si="118">IF(C398=$A$3,$C$3*NETWORKDAYS($C$395,$E$395),0)</f>
        <v>176</v>
      </c>
      <c r="G398" s="303">
        <f>IFERROR(E398*F398,0)</f>
        <v>8448</v>
      </c>
      <c r="H398" s="114">
        <f t="shared" ref="H398:H410" si="119">IFERROR(G398*$H$37,0)</f>
        <v>675.84000000000015</v>
      </c>
      <c r="I398" s="114">
        <f t="shared" ref="I398:I410" si="120">IFERROR(G398*$I$37,0)</f>
        <v>405.50400000000002</v>
      </c>
      <c r="J398" s="114">
        <f t="shared" ref="J398:J410" si="121">IF(C398=$A$3,G398*$J$37,0)</f>
        <v>675.84000000000015</v>
      </c>
      <c r="K398" s="114">
        <f t="shared" ref="K398:K410" si="122">IF(C398=$A$3,G398*$K$37,0)</f>
        <v>0</v>
      </c>
      <c r="L398" s="224">
        <f>IFERROR(G398-SUM(H398:K398),0)</f>
        <v>6690.8159999999998</v>
      </c>
      <c r="M398" s="114">
        <f>IFERROR(IF('Payroll 2020'!C398='Payroll 2020'!$A$3,IF('Income Statement 2020'!$K$22&gt;0,'Income Statement 2020'!$K$22*0.1*('Payroll 2020'!G398/SUMIF($C$398:$C$436,$A$3,$G$398:$G$436)),0),0),0)</f>
        <v>0</v>
      </c>
      <c r="N398" s="224">
        <f>IFERROR(L398+M398,0)</f>
        <v>6690.8159999999998</v>
      </c>
    </row>
    <row r="399" spans="1:14" outlineLevel="1" x14ac:dyDescent="0.25">
      <c r="A399" s="104" t="s">
        <v>179</v>
      </c>
      <c r="B399" s="63">
        <v>2</v>
      </c>
      <c r="C399" s="105" t="s">
        <v>3</v>
      </c>
      <c r="D399" s="5" t="s">
        <v>484</v>
      </c>
      <c r="E399" s="308">
        <f t="shared" ref="E399:E427" si="123">E354</f>
        <v>45</v>
      </c>
      <c r="F399" s="45">
        <f t="shared" si="118"/>
        <v>176</v>
      </c>
      <c r="G399" s="303">
        <f t="shared" ref="G399:G423" si="124">IFERROR(E399*F399,0)</f>
        <v>7920</v>
      </c>
      <c r="H399" s="114">
        <f t="shared" si="119"/>
        <v>633.60000000000014</v>
      </c>
      <c r="I399" s="114">
        <f t="shared" si="120"/>
        <v>380.16</v>
      </c>
      <c r="J399" s="114">
        <f t="shared" si="121"/>
        <v>633.60000000000014</v>
      </c>
      <c r="K399" s="114">
        <f t="shared" si="122"/>
        <v>0</v>
      </c>
      <c r="L399" s="224">
        <f t="shared" ref="L399:L436" si="125">IFERROR(G399-SUM(H399:K399),0)</f>
        <v>6272.6399999999994</v>
      </c>
      <c r="M399" s="114">
        <f>IFERROR(IF('Payroll 2020'!C399='Payroll 2020'!$A$3,IF('Income Statement 2020'!$K$22&gt;0,'Income Statement 2020'!$K$22*0.1*('Payroll 2020'!G399/SUMIF($C$398:$C$436,$A$3,$G$398:$G$436)),0),0),0)</f>
        <v>0</v>
      </c>
      <c r="N399" s="224">
        <f t="shared" ref="N399:N436" si="126">IFERROR(L399+M399,0)</f>
        <v>6272.6399999999994</v>
      </c>
    </row>
    <row r="400" spans="1:14" outlineLevel="1" x14ac:dyDescent="0.25">
      <c r="A400" s="104" t="s">
        <v>180</v>
      </c>
      <c r="B400" s="63">
        <v>3</v>
      </c>
      <c r="C400" s="105" t="s">
        <v>3</v>
      </c>
      <c r="D400" s="5" t="s">
        <v>484</v>
      </c>
      <c r="E400" s="308">
        <f t="shared" si="123"/>
        <v>37</v>
      </c>
      <c r="F400" s="45">
        <f t="shared" si="118"/>
        <v>176</v>
      </c>
      <c r="G400" s="303">
        <f t="shared" si="124"/>
        <v>6512</v>
      </c>
      <c r="H400" s="114">
        <f t="shared" si="119"/>
        <v>520.96000000000015</v>
      </c>
      <c r="I400" s="114">
        <f t="shared" si="120"/>
        <v>312.57600000000002</v>
      </c>
      <c r="J400" s="114">
        <f t="shared" si="121"/>
        <v>520.96000000000015</v>
      </c>
      <c r="K400" s="114">
        <f t="shared" si="122"/>
        <v>0</v>
      </c>
      <c r="L400" s="224">
        <f t="shared" si="125"/>
        <v>5157.5039999999999</v>
      </c>
      <c r="M400" s="114">
        <f>IFERROR(IF('Payroll 2020'!C400='Payroll 2020'!$A$3,IF('Income Statement 2020'!$K$22&gt;0,'Income Statement 2020'!$K$22*0.1*('Payroll 2020'!G400/SUMIF($C$398:$C$436,$A$3,$G$398:$G$436)),0),0),0)</f>
        <v>0</v>
      </c>
      <c r="N400" s="224">
        <f t="shared" si="126"/>
        <v>5157.5039999999999</v>
      </c>
    </row>
    <row r="401" spans="1:14" outlineLevel="1" x14ac:dyDescent="0.25">
      <c r="A401" s="104" t="s">
        <v>181</v>
      </c>
      <c r="B401" s="63">
        <v>4</v>
      </c>
      <c r="C401" s="105" t="s">
        <v>3</v>
      </c>
      <c r="D401" s="5" t="s">
        <v>485</v>
      </c>
      <c r="E401" s="308">
        <f t="shared" si="123"/>
        <v>23</v>
      </c>
      <c r="F401" s="45">
        <f t="shared" si="118"/>
        <v>176</v>
      </c>
      <c r="G401" s="303">
        <f t="shared" si="124"/>
        <v>4048</v>
      </c>
      <c r="H401" s="114">
        <f t="shared" si="119"/>
        <v>323.84000000000009</v>
      </c>
      <c r="I401" s="114">
        <f t="shared" si="120"/>
        <v>194.304</v>
      </c>
      <c r="J401" s="114">
        <f t="shared" si="121"/>
        <v>323.84000000000009</v>
      </c>
      <c r="K401" s="114">
        <f t="shared" si="122"/>
        <v>0</v>
      </c>
      <c r="L401" s="224">
        <f t="shared" si="125"/>
        <v>3206.0159999999996</v>
      </c>
      <c r="M401" s="114">
        <f>IFERROR(IF('Payroll 2020'!C401='Payroll 2020'!$A$3,IF('Income Statement 2020'!$K$22&gt;0,'Income Statement 2020'!$K$22*0.1*('Payroll 2020'!G401/SUMIF($C$398:$C$436,$A$3,$G$398:$G$436)),0),0),0)</f>
        <v>0</v>
      </c>
      <c r="N401" s="224">
        <f t="shared" si="126"/>
        <v>3206.0159999999996</v>
      </c>
    </row>
    <row r="402" spans="1:14" outlineLevel="1" x14ac:dyDescent="0.25">
      <c r="A402" s="104" t="s">
        <v>182</v>
      </c>
      <c r="B402" s="63">
        <v>5</v>
      </c>
      <c r="C402" s="105" t="s">
        <v>3</v>
      </c>
      <c r="D402" s="5" t="s">
        <v>486</v>
      </c>
      <c r="E402" s="308">
        <f t="shared" si="123"/>
        <v>40</v>
      </c>
      <c r="F402" s="45">
        <f t="shared" si="118"/>
        <v>176</v>
      </c>
      <c r="G402" s="303">
        <f t="shared" si="124"/>
        <v>7040</v>
      </c>
      <c r="H402" s="114">
        <f t="shared" si="119"/>
        <v>563.20000000000016</v>
      </c>
      <c r="I402" s="114">
        <f t="shared" si="120"/>
        <v>337.92</v>
      </c>
      <c r="J402" s="114">
        <f t="shared" si="121"/>
        <v>563.20000000000016</v>
      </c>
      <c r="K402" s="114">
        <f t="shared" si="122"/>
        <v>0</v>
      </c>
      <c r="L402" s="224">
        <f t="shared" si="125"/>
        <v>5575.68</v>
      </c>
      <c r="M402" s="114">
        <f>IFERROR(IF('Payroll 2020'!C402='Payroll 2020'!$A$3,IF('Income Statement 2020'!$K$22&gt;0,'Income Statement 2020'!$K$22*0.1*('Payroll 2020'!G402/SUMIF($C$398:$C$436,$A$3,$G$398:$G$436)),0),0),0)</f>
        <v>0</v>
      </c>
      <c r="N402" s="224">
        <f t="shared" si="126"/>
        <v>5575.68</v>
      </c>
    </row>
    <row r="403" spans="1:14" outlineLevel="1" x14ac:dyDescent="0.25">
      <c r="A403" s="104" t="s">
        <v>198</v>
      </c>
      <c r="B403" s="63">
        <v>6</v>
      </c>
      <c r="C403" s="105" t="s">
        <v>3</v>
      </c>
      <c r="D403" s="5" t="s">
        <v>486</v>
      </c>
      <c r="E403" s="308">
        <f t="shared" si="123"/>
        <v>28</v>
      </c>
      <c r="F403" s="45">
        <f t="shared" si="118"/>
        <v>176</v>
      </c>
      <c r="G403" s="303">
        <f t="shared" si="124"/>
        <v>4928</v>
      </c>
      <c r="H403" s="114">
        <f t="shared" si="119"/>
        <v>394.24000000000007</v>
      </c>
      <c r="I403" s="114">
        <f t="shared" si="120"/>
        <v>236.54400000000001</v>
      </c>
      <c r="J403" s="114">
        <f t="shared" si="121"/>
        <v>394.24000000000007</v>
      </c>
      <c r="K403" s="114">
        <f t="shared" si="122"/>
        <v>0</v>
      </c>
      <c r="L403" s="224">
        <f t="shared" si="125"/>
        <v>3902.9759999999997</v>
      </c>
      <c r="M403" s="114">
        <f>IFERROR(IF('Payroll 2020'!C403='Payroll 2020'!$A$3,IF('Income Statement 2020'!$K$22&gt;0,'Income Statement 2020'!$K$22*0.1*('Payroll 2020'!G403/SUMIF($C$398:$C$436,$A$3,$G$398:$G$436)),0),0),0)</f>
        <v>0</v>
      </c>
      <c r="N403" s="224">
        <f t="shared" si="126"/>
        <v>3902.9759999999997</v>
      </c>
    </row>
    <row r="404" spans="1:14" outlineLevel="1" x14ac:dyDescent="0.25">
      <c r="A404" s="104" t="s">
        <v>199</v>
      </c>
      <c r="B404" s="63">
        <v>7</v>
      </c>
      <c r="C404" s="105" t="s">
        <v>3</v>
      </c>
      <c r="D404" s="5" t="s">
        <v>486</v>
      </c>
      <c r="E404" s="308">
        <f t="shared" si="123"/>
        <v>23</v>
      </c>
      <c r="F404" s="45">
        <f t="shared" si="118"/>
        <v>176</v>
      </c>
      <c r="G404" s="303">
        <f t="shared" si="124"/>
        <v>4048</v>
      </c>
      <c r="H404" s="114">
        <f t="shared" si="119"/>
        <v>323.84000000000009</v>
      </c>
      <c r="I404" s="114">
        <f t="shared" si="120"/>
        <v>194.304</v>
      </c>
      <c r="J404" s="114">
        <f t="shared" si="121"/>
        <v>323.84000000000009</v>
      </c>
      <c r="K404" s="114">
        <f t="shared" si="122"/>
        <v>0</v>
      </c>
      <c r="L404" s="224">
        <f t="shared" si="125"/>
        <v>3206.0159999999996</v>
      </c>
      <c r="M404" s="114">
        <f>IFERROR(IF('Payroll 2020'!C404='Payroll 2020'!$A$3,IF('Income Statement 2020'!$K$22&gt;0,'Income Statement 2020'!$K$22*0.1*('Payroll 2020'!G404/SUMIF($C$398:$C$436,$A$3,$G$398:$G$436)),0),0),0)</f>
        <v>0</v>
      </c>
      <c r="N404" s="224">
        <f t="shared" si="126"/>
        <v>3206.0159999999996</v>
      </c>
    </row>
    <row r="405" spans="1:14" outlineLevel="1" x14ac:dyDescent="0.25">
      <c r="A405" s="104" t="s">
        <v>200</v>
      </c>
      <c r="B405" s="63">
        <v>8</v>
      </c>
      <c r="C405" s="105" t="s">
        <v>3</v>
      </c>
      <c r="D405" s="5" t="s">
        <v>486</v>
      </c>
      <c r="E405" s="308">
        <f t="shared" si="123"/>
        <v>23</v>
      </c>
      <c r="F405" s="45">
        <f t="shared" si="118"/>
        <v>176</v>
      </c>
      <c r="G405" s="303">
        <f t="shared" si="124"/>
        <v>4048</v>
      </c>
      <c r="H405" s="114">
        <f t="shared" si="119"/>
        <v>323.84000000000009</v>
      </c>
      <c r="I405" s="114">
        <f t="shared" si="120"/>
        <v>194.304</v>
      </c>
      <c r="J405" s="114">
        <f t="shared" si="121"/>
        <v>323.84000000000009</v>
      </c>
      <c r="K405" s="114">
        <f t="shared" si="122"/>
        <v>0</v>
      </c>
      <c r="L405" s="224">
        <f t="shared" si="125"/>
        <v>3206.0159999999996</v>
      </c>
      <c r="M405" s="114">
        <f>IFERROR(IF('Payroll 2020'!C405='Payroll 2020'!$A$3,IF('Income Statement 2020'!$K$22&gt;0,'Income Statement 2020'!$K$22*0.1*('Payroll 2020'!G405/SUMIF($C$398:$C$436,$A$3,$G$398:$G$436)),0),0),0)</f>
        <v>0</v>
      </c>
      <c r="N405" s="224">
        <f t="shared" si="126"/>
        <v>3206.0159999999996</v>
      </c>
    </row>
    <row r="406" spans="1:14" outlineLevel="1" x14ac:dyDescent="0.25">
      <c r="A406" s="104" t="s">
        <v>184</v>
      </c>
      <c r="B406" s="63">
        <v>9</v>
      </c>
      <c r="C406" s="105" t="s">
        <v>3</v>
      </c>
      <c r="D406" s="5" t="s">
        <v>487</v>
      </c>
      <c r="E406" s="308">
        <f t="shared" si="123"/>
        <v>18</v>
      </c>
      <c r="F406" s="45">
        <f t="shared" si="118"/>
        <v>176</v>
      </c>
      <c r="G406" s="303">
        <f t="shared" si="124"/>
        <v>3168</v>
      </c>
      <c r="H406" s="114">
        <f t="shared" si="119"/>
        <v>253.44000000000005</v>
      </c>
      <c r="I406" s="114">
        <f t="shared" si="120"/>
        <v>152.06399999999999</v>
      </c>
      <c r="J406" s="114">
        <f t="shared" si="121"/>
        <v>253.44000000000005</v>
      </c>
      <c r="K406" s="114">
        <f t="shared" si="122"/>
        <v>0</v>
      </c>
      <c r="L406" s="224">
        <f t="shared" si="125"/>
        <v>2509.056</v>
      </c>
      <c r="M406" s="114">
        <f>IFERROR(IF('Payroll 2020'!C406='Payroll 2020'!$A$3,IF('Income Statement 2020'!$K$22&gt;0,'Income Statement 2020'!$K$22*0.1*('Payroll 2020'!G406/SUMIF($C$398:$C$436,$A$3,$G$398:$G$436)),0),0),0)</f>
        <v>0</v>
      </c>
      <c r="N406" s="224">
        <f t="shared" si="126"/>
        <v>2509.056</v>
      </c>
    </row>
    <row r="407" spans="1:14" outlineLevel="1" x14ac:dyDescent="0.25">
      <c r="A407" s="104" t="s">
        <v>186</v>
      </c>
      <c r="B407" s="63">
        <v>10</v>
      </c>
      <c r="C407" s="105" t="s">
        <v>3</v>
      </c>
      <c r="D407" s="5" t="s">
        <v>486</v>
      </c>
      <c r="E407" s="308">
        <f t="shared" si="123"/>
        <v>23</v>
      </c>
      <c r="F407" s="45">
        <f t="shared" si="118"/>
        <v>176</v>
      </c>
      <c r="G407" s="303">
        <f t="shared" si="124"/>
        <v>4048</v>
      </c>
      <c r="H407" s="114">
        <f t="shared" si="119"/>
        <v>323.84000000000009</v>
      </c>
      <c r="I407" s="114">
        <f t="shared" si="120"/>
        <v>194.304</v>
      </c>
      <c r="J407" s="114">
        <f t="shared" si="121"/>
        <v>323.84000000000009</v>
      </c>
      <c r="K407" s="114">
        <f t="shared" si="122"/>
        <v>0</v>
      </c>
      <c r="L407" s="224">
        <f t="shared" si="125"/>
        <v>3206.0159999999996</v>
      </c>
      <c r="M407" s="114">
        <f>IFERROR(IF('Payroll 2020'!C407='Payroll 2020'!$A$3,IF('Income Statement 2020'!$K$22&gt;0,'Income Statement 2020'!$K$22*0.1*('Payroll 2020'!G407/SUMIF($C$398:$C$436,$A$3,$G$398:$G$436)),0),0),0)</f>
        <v>0</v>
      </c>
      <c r="N407" s="224">
        <f t="shared" si="126"/>
        <v>3206.0159999999996</v>
      </c>
    </row>
    <row r="408" spans="1:14" outlineLevel="1" x14ac:dyDescent="0.25">
      <c r="A408" s="104" t="s">
        <v>187</v>
      </c>
      <c r="B408" s="63">
        <v>11</v>
      </c>
      <c r="C408" s="105" t="s">
        <v>3</v>
      </c>
      <c r="D408" s="5" t="s">
        <v>486</v>
      </c>
      <c r="E408" s="308">
        <f t="shared" si="123"/>
        <v>40</v>
      </c>
      <c r="F408" s="45">
        <f t="shared" si="118"/>
        <v>176</v>
      </c>
      <c r="G408" s="303">
        <f t="shared" si="124"/>
        <v>7040</v>
      </c>
      <c r="H408" s="114">
        <f t="shared" si="119"/>
        <v>563.20000000000016</v>
      </c>
      <c r="I408" s="114">
        <f t="shared" si="120"/>
        <v>337.92</v>
      </c>
      <c r="J408" s="114">
        <f t="shared" si="121"/>
        <v>563.20000000000016</v>
      </c>
      <c r="K408" s="114">
        <f t="shared" si="122"/>
        <v>0</v>
      </c>
      <c r="L408" s="224">
        <f t="shared" si="125"/>
        <v>5575.68</v>
      </c>
      <c r="M408" s="114">
        <f>IFERROR(IF('Payroll 2020'!C408='Payroll 2020'!$A$3,IF('Income Statement 2020'!$K$22&gt;0,'Income Statement 2020'!$K$22*0.1*('Payroll 2020'!G408/SUMIF($C$398:$C$436,$A$3,$G$398:$G$436)),0),0),0)</f>
        <v>0</v>
      </c>
      <c r="N408" s="224">
        <f t="shared" si="126"/>
        <v>5575.68</v>
      </c>
    </row>
    <row r="409" spans="1:14" outlineLevel="1" x14ac:dyDescent="0.25">
      <c r="A409" s="104" t="s">
        <v>201</v>
      </c>
      <c r="B409" s="63">
        <v>12</v>
      </c>
      <c r="C409" s="105" t="s">
        <v>3</v>
      </c>
      <c r="D409" s="5" t="s">
        <v>486</v>
      </c>
      <c r="E409" s="308">
        <f t="shared" si="123"/>
        <v>40</v>
      </c>
      <c r="F409" s="45">
        <f t="shared" si="118"/>
        <v>176</v>
      </c>
      <c r="G409" s="303">
        <f t="shared" si="124"/>
        <v>7040</v>
      </c>
      <c r="H409" s="114">
        <f t="shared" si="119"/>
        <v>563.20000000000016</v>
      </c>
      <c r="I409" s="114">
        <f t="shared" si="120"/>
        <v>337.92</v>
      </c>
      <c r="J409" s="114">
        <f t="shared" si="121"/>
        <v>563.20000000000016</v>
      </c>
      <c r="K409" s="114">
        <f t="shared" si="122"/>
        <v>0</v>
      </c>
      <c r="L409" s="224">
        <f t="shared" si="125"/>
        <v>5575.68</v>
      </c>
      <c r="M409" s="114">
        <f>IFERROR(IF('Payroll 2020'!C409='Payroll 2020'!$A$3,IF('Income Statement 2020'!$K$22&gt;0,'Income Statement 2020'!$K$22*0.1*('Payroll 2020'!G409/SUMIF($C$398:$C$436,$A$3,$G$398:$G$436)),0),0),0)</f>
        <v>0</v>
      </c>
      <c r="N409" s="224">
        <f t="shared" si="126"/>
        <v>5575.68</v>
      </c>
    </row>
    <row r="410" spans="1:14" outlineLevel="1" x14ac:dyDescent="0.25">
      <c r="A410" s="104" t="s">
        <v>189</v>
      </c>
      <c r="B410" s="63">
        <v>13</v>
      </c>
      <c r="C410" s="105" t="s">
        <v>3</v>
      </c>
      <c r="D410" s="5" t="s">
        <v>486</v>
      </c>
      <c r="E410" s="308">
        <f t="shared" si="123"/>
        <v>30</v>
      </c>
      <c r="F410" s="45">
        <f t="shared" si="118"/>
        <v>176</v>
      </c>
      <c r="G410" s="303">
        <f t="shared" si="124"/>
        <v>5280</v>
      </c>
      <c r="H410" s="114">
        <f t="shared" si="119"/>
        <v>422.40000000000009</v>
      </c>
      <c r="I410" s="114">
        <f t="shared" si="120"/>
        <v>253.44</v>
      </c>
      <c r="J410" s="114">
        <f t="shared" si="121"/>
        <v>422.40000000000009</v>
      </c>
      <c r="K410" s="114">
        <f t="shared" si="122"/>
        <v>0</v>
      </c>
      <c r="L410" s="224">
        <f t="shared" si="125"/>
        <v>4181.76</v>
      </c>
      <c r="M410" s="114">
        <f>IFERROR(IF('Payroll 2020'!C410='Payroll 2020'!$A$3,IF('Income Statement 2020'!$K$22&gt;0,'Income Statement 2020'!$K$22*0.1*('Payroll 2020'!G410/SUMIF($C$398:$C$436,$A$3,$G$398:$G$436)),0),0),0)</f>
        <v>0</v>
      </c>
      <c r="N410" s="224">
        <f t="shared" si="126"/>
        <v>4181.76</v>
      </c>
    </row>
    <row r="411" spans="1:14" outlineLevel="1" x14ac:dyDescent="0.25">
      <c r="A411" s="104" t="s">
        <v>190</v>
      </c>
      <c r="B411" s="63">
        <v>14</v>
      </c>
      <c r="C411" s="105" t="s">
        <v>5</v>
      </c>
      <c r="D411" s="5" t="s">
        <v>487</v>
      </c>
      <c r="E411" s="308">
        <f t="shared" si="123"/>
        <v>7.5</v>
      </c>
      <c r="F411" s="45">
        <v>176</v>
      </c>
      <c r="G411" s="303">
        <f t="shared" si="124"/>
        <v>1320</v>
      </c>
      <c r="H411" s="114"/>
      <c r="I411" s="114"/>
      <c r="J411" s="114"/>
      <c r="K411" s="114"/>
      <c r="L411" s="224">
        <f t="shared" si="125"/>
        <v>1320</v>
      </c>
      <c r="M411" s="114">
        <f>IFERROR(IF('Payroll 2020'!C411='Payroll 2020'!$A$3,IF('Income Statement 2020'!$K$22&gt;0,'Income Statement 2020'!$K$22*0.1*('Payroll 2020'!G411/SUMIF($C$398:$C$436,$A$3,$G$398:$G$436)),0),0),0)</f>
        <v>0</v>
      </c>
      <c r="N411" s="224">
        <f t="shared" si="126"/>
        <v>1320</v>
      </c>
    </row>
    <row r="412" spans="1:14" outlineLevel="1" x14ac:dyDescent="0.25">
      <c r="A412" s="104" t="s">
        <v>191</v>
      </c>
      <c r="B412" s="63">
        <v>15</v>
      </c>
      <c r="C412" s="105" t="s">
        <v>5</v>
      </c>
      <c r="D412" s="5" t="s">
        <v>486</v>
      </c>
      <c r="E412" s="308">
        <f t="shared" si="123"/>
        <v>10</v>
      </c>
      <c r="F412" s="45">
        <v>176</v>
      </c>
      <c r="G412" s="303">
        <f t="shared" si="124"/>
        <v>1760</v>
      </c>
      <c r="H412" s="114"/>
      <c r="I412" s="114"/>
      <c r="J412" s="114"/>
      <c r="K412" s="114"/>
      <c r="L412" s="224">
        <f t="shared" si="125"/>
        <v>1760</v>
      </c>
      <c r="M412" s="114">
        <f>IFERROR(IF('Payroll 2020'!C412='Payroll 2020'!$A$3,IF('Income Statement 2020'!$K$22&gt;0,'Income Statement 2020'!$K$22*0.1*('Payroll 2020'!G412/SUMIF($C$398:$C$436,$A$3,$G$398:$G$436)),0),0),0)</f>
        <v>0</v>
      </c>
      <c r="N412" s="224">
        <f t="shared" si="126"/>
        <v>1760</v>
      </c>
    </row>
    <row r="413" spans="1:14" outlineLevel="1" x14ac:dyDescent="0.25">
      <c r="A413" s="104" t="s">
        <v>192</v>
      </c>
      <c r="B413" s="63">
        <v>16</v>
      </c>
      <c r="C413" s="105" t="s">
        <v>5</v>
      </c>
      <c r="D413" s="5" t="s">
        <v>486</v>
      </c>
      <c r="E413" s="308">
        <f t="shared" si="123"/>
        <v>7.5</v>
      </c>
      <c r="F413" s="45">
        <v>176</v>
      </c>
      <c r="G413" s="303">
        <f t="shared" si="124"/>
        <v>1320</v>
      </c>
      <c r="H413" s="114"/>
      <c r="I413" s="114"/>
      <c r="J413" s="114"/>
      <c r="K413" s="114"/>
      <c r="L413" s="224">
        <f t="shared" si="125"/>
        <v>1320</v>
      </c>
      <c r="M413" s="114">
        <f>IFERROR(IF('Payroll 2020'!C413='Payroll 2020'!$A$3,IF('Income Statement 2020'!$K$22&gt;0,'Income Statement 2020'!$K$22*0.1*('Payroll 2020'!G413/SUMIF($C$398:$C$436,$A$3,$G$398:$G$436)),0),0),0)</f>
        <v>0</v>
      </c>
      <c r="N413" s="224">
        <f t="shared" si="126"/>
        <v>1320</v>
      </c>
    </row>
    <row r="414" spans="1:14" outlineLevel="1" x14ac:dyDescent="0.25">
      <c r="A414" s="104" t="s">
        <v>196</v>
      </c>
      <c r="B414" s="63">
        <v>17</v>
      </c>
      <c r="C414" s="105" t="s">
        <v>5</v>
      </c>
      <c r="D414" s="5" t="s">
        <v>486</v>
      </c>
      <c r="E414" s="308">
        <f t="shared" si="123"/>
        <v>7.5</v>
      </c>
      <c r="F414" s="45">
        <v>176</v>
      </c>
      <c r="G414" s="303">
        <f t="shared" si="124"/>
        <v>1320</v>
      </c>
      <c r="H414" s="114"/>
      <c r="I414" s="114"/>
      <c r="J414" s="114"/>
      <c r="K414" s="114"/>
      <c r="L414" s="224">
        <f t="shared" si="125"/>
        <v>1320</v>
      </c>
      <c r="M414" s="114">
        <f>IFERROR(IF('Payroll 2020'!C414='Payroll 2020'!$A$3,IF('Income Statement 2020'!$K$22&gt;0,'Income Statement 2020'!$K$22*0.1*('Payroll 2020'!G414/SUMIF($C$398:$C$436,$A$3,$G$398:$G$436)),0),0),0)</f>
        <v>0</v>
      </c>
      <c r="N414" s="224">
        <f t="shared" si="126"/>
        <v>1320</v>
      </c>
    </row>
    <row r="415" spans="1:14" outlineLevel="1" x14ac:dyDescent="0.25">
      <c r="A415" s="104" t="s">
        <v>193</v>
      </c>
      <c r="B415" s="63">
        <v>18</v>
      </c>
      <c r="C415" s="105"/>
      <c r="D415" s="5" t="s">
        <v>486</v>
      </c>
      <c r="E415" s="308">
        <f t="shared" si="123"/>
        <v>22</v>
      </c>
      <c r="F415" s="45">
        <f>IF(C415=$A$3,$C$3*NETWORKDAYS($C$395,$E$395),0)</f>
        <v>0</v>
      </c>
      <c r="G415" s="303">
        <f t="shared" si="124"/>
        <v>0</v>
      </c>
      <c r="H415" s="114">
        <f>IFERROR(G415*$H$37,0)</f>
        <v>0</v>
      </c>
      <c r="I415" s="114">
        <f>IFERROR(G415*$I$37,0)</f>
        <v>0</v>
      </c>
      <c r="J415" s="114">
        <f>IF(C415=$A$3,G415*$J$37,0)</f>
        <v>0</v>
      </c>
      <c r="K415" s="114">
        <f>IF(C415=$A$3,G415*$K$37,0)</f>
        <v>0</v>
      </c>
      <c r="L415" s="224">
        <f t="shared" si="125"/>
        <v>0</v>
      </c>
      <c r="M415" s="114">
        <f>IFERROR(IF('Payroll 2020'!C415='Payroll 2020'!$A$3,IF('Income Statement 2020'!$K$22&gt;0,'Income Statement 2020'!$K$22*0.1*('Payroll 2020'!G415/SUMIF($C$398:$C$436,$A$3,$G$398:$G$436)),0),0),0)</f>
        <v>0</v>
      </c>
      <c r="N415" s="224">
        <f t="shared" si="126"/>
        <v>0</v>
      </c>
    </row>
    <row r="416" spans="1:14" outlineLevel="1" x14ac:dyDescent="0.25">
      <c r="A416" s="104" t="s">
        <v>194</v>
      </c>
      <c r="B416" s="63">
        <v>19</v>
      </c>
      <c r="C416" s="105"/>
      <c r="D416" s="5" t="s">
        <v>486</v>
      </c>
      <c r="E416" s="308">
        <f t="shared" si="123"/>
        <v>25</v>
      </c>
      <c r="F416" s="45">
        <f>IF(C416=$A$3,$C$3*NETWORKDAYS($C$395,$E$395),0)</f>
        <v>0</v>
      </c>
      <c r="G416" s="303">
        <f t="shared" si="124"/>
        <v>0</v>
      </c>
      <c r="H416" s="114">
        <f>IFERROR(G416*$H$37,0)</f>
        <v>0</v>
      </c>
      <c r="I416" s="114">
        <f>IFERROR(G416*$I$37,0)</f>
        <v>0</v>
      </c>
      <c r="J416" s="114">
        <f>IF(C416=$A$3,G416*$J$37,0)</f>
        <v>0</v>
      </c>
      <c r="K416" s="114">
        <f>IF(C416=$A$3,G416*$K$37,0)</f>
        <v>0</v>
      </c>
      <c r="L416" s="224">
        <f t="shared" si="125"/>
        <v>0</v>
      </c>
      <c r="M416" s="114">
        <f>IFERROR(IF('Payroll 2020'!C416='Payroll 2020'!$A$3,IF('Income Statement 2020'!$K$22&gt;0,'Income Statement 2020'!$K$22*0.1*('Payroll 2020'!G416/SUMIF($C$398:$C$436,$A$3,$G$398:$G$436)),0),0),0)</f>
        <v>0</v>
      </c>
      <c r="N416" s="224">
        <f t="shared" si="126"/>
        <v>0</v>
      </c>
    </row>
    <row r="417" spans="1:14" outlineLevel="1" x14ac:dyDescent="0.25">
      <c r="A417" s="104" t="s">
        <v>202</v>
      </c>
      <c r="B417" s="63">
        <v>20</v>
      </c>
      <c r="C417" s="105"/>
      <c r="D417" s="5" t="s">
        <v>486</v>
      </c>
      <c r="E417" s="308">
        <f t="shared" si="123"/>
        <v>20</v>
      </c>
      <c r="F417" s="45">
        <f>IF(C417=$A$3,$C$3*NETWORKDAYS($C$395,$E$395),0)</f>
        <v>0</v>
      </c>
      <c r="G417" s="303">
        <f t="shared" si="124"/>
        <v>0</v>
      </c>
      <c r="H417" s="114">
        <f>IFERROR(G417*$H$37,0)</f>
        <v>0</v>
      </c>
      <c r="I417" s="114">
        <f>IFERROR(G417*$I$37,0)</f>
        <v>0</v>
      </c>
      <c r="J417" s="114">
        <f>IF(C417=$A$3,G417*$J$37,0)</f>
        <v>0</v>
      </c>
      <c r="K417" s="114">
        <f>IF(C417=$A$3,G417*$K$37,0)</f>
        <v>0</v>
      </c>
      <c r="L417" s="224">
        <f t="shared" si="125"/>
        <v>0</v>
      </c>
      <c r="M417" s="114">
        <f>IFERROR(IF('Payroll 2020'!C417='Payroll 2020'!$A$3,IF('Income Statement 2020'!$K$22&gt;0,'Income Statement 2020'!$K$22*0.1*('Payroll 2020'!G417/SUMIF($C$398:$C$436,$A$3,$G$398:$G$436)),0),0),0)</f>
        <v>0</v>
      </c>
      <c r="N417" s="224">
        <f t="shared" si="126"/>
        <v>0</v>
      </c>
    </row>
    <row r="418" spans="1:14" outlineLevel="1" x14ac:dyDescent="0.25">
      <c r="A418" s="104" t="s">
        <v>195</v>
      </c>
      <c r="B418" s="63">
        <v>21</v>
      </c>
      <c r="C418" s="105" t="s">
        <v>5</v>
      </c>
      <c r="D418" s="5" t="s">
        <v>487</v>
      </c>
      <c r="E418" s="308">
        <f t="shared" si="123"/>
        <v>7.5</v>
      </c>
      <c r="F418" s="45">
        <v>176</v>
      </c>
      <c r="G418" s="303">
        <f t="shared" si="124"/>
        <v>1320</v>
      </c>
      <c r="H418" s="114"/>
      <c r="I418" s="114"/>
      <c r="J418" s="114"/>
      <c r="K418" s="114"/>
      <c r="L418" s="224">
        <f t="shared" si="125"/>
        <v>1320</v>
      </c>
      <c r="M418" s="114">
        <f>IFERROR(IF('Payroll 2020'!C418='Payroll 2020'!$A$3,IF('Income Statement 2020'!$K$22&gt;0,'Income Statement 2020'!$K$22*0.1*('Payroll 2020'!G418/SUMIF($C$398:$C$436,$A$3,$G$398:$G$436)),0),0),0)</f>
        <v>0</v>
      </c>
      <c r="N418" s="224">
        <f t="shared" si="126"/>
        <v>1320</v>
      </c>
    </row>
    <row r="419" spans="1:14" outlineLevel="1" x14ac:dyDescent="0.25">
      <c r="A419" s="104" t="s">
        <v>197</v>
      </c>
      <c r="B419" s="63">
        <v>22</v>
      </c>
      <c r="C419" s="105" t="s">
        <v>5</v>
      </c>
      <c r="D419" s="5" t="s">
        <v>486</v>
      </c>
      <c r="E419" s="308">
        <f t="shared" si="123"/>
        <v>10</v>
      </c>
      <c r="F419" s="45">
        <v>176</v>
      </c>
      <c r="G419" s="303">
        <f t="shared" si="124"/>
        <v>1760</v>
      </c>
      <c r="H419" s="114"/>
      <c r="I419" s="114"/>
      <c r="J419" s="114"/>
      <c r="K419" s="114"/>
      <c r="L419" s="224">
        <f t="shared" si="125"/>
        <v>1760</v>
      </c>
      <c r="M419" s="114">
        <f>IFERROR(IF('Payroll 2020'!C419='Payroll 2020'!$A$3,IF('Income Statement 2020'!$K$22&gt;0,'Income Statement 2020'!$K$22*0.1*('Payroll 2020'!G419/SUMIF($C$398:$C$436,$A$3,$G$398:$G$436)),0),0),0)</f>
        <v>0</v>
      </c>
      <c r="N419" s="224">
        <f t="shared" si="126"/>
        <v>1760</v>
      </c>
    </row>
    <row r="420" spans="1:14" outlineLevel="1" x14ac:dyDescent="0.25">
      <c r="A420" s="104" t="s">
        <v>205</v>
      </c>
      <c r="B420" s="63">
        <v>23</v>
      </c>
      <c r="C420" s="105"/>
      <c r="D420" s="5" t="s">
        <v>486</v>
      </c>
      <c r="E420" s="308">
        <f t="shared" si="123"/>
        <v>7.5</v>
      </c>
      <c r="F420" s="45">
        <v>176</v>
      </c>
      <c r="G420" s="303">
        <f t="shared" si="124"/>
        <v>1320</v>
      </c>
      <c r="H420" s="114"/>
      <c r="I420" s="114"/>
      <c r="J420" s="114"/>
      <c r="K420" s="114"/>
      <c r="L420" s="224">
        <f t="shared" si="125"/>
        <v>1320</v>
      </c>
      <c r="M420" s="114">
        <f>IFERROR(IF('Payroll 2020'!C420='Payroll 2020'!$A$3,IF('Income Statement 2020'!$K$22&gt;0,'Income Statement 2020'!$K$22*0.1*('Payroll 2020'!G420/SUMIF($C$398:$C$436,$A$3,$G$398:$G$436)),0),0),0)</f>
        <v>0</v>
      </c>
      <c r="N420" s="224">
        <f t="shared" si="126"/>
        <v>1320</v>
      </c>
    </row>
    <row r="421" spans="1:14" outlineLevel="1" x14ac:dyDescent="0.25">
      <c r="A421" s="104" t="s">
        <v>204</v>
      </c>
      <c r="B421" s="63">
        <v>24</v>
      </c>
      <c r="C421" s="105"/>
      <c r="D421" s="5" t="s">
        <v>486</v>
      </c>
      <c r="E421" s="308">
        <f t="shared" si="123"/>
        <v>7.5</v>
      </c>
      <c r="F421" s="45">
        <v>176</v>
      </c>
      <c r="G421" s="303">
        <f t="shared" si="124"/>
        <v>1320</v>
      </c>
      <c r="H421" s="114"/>
      <c r="I421" s="114"/>
      <c r="J421" s="114"/>
      <c r="K421" s="114"/>
      <c r="L421" s="224">
        <f t="shared" si="125"/>
        <v>1320</v>
      </c>
      <c r="M421" s="114">
        <f>IFERROR(IF('Payroll 2020'!C421='Payroll 2020'!$A$3,IF('Income Statement 2020'!$K$22&gt;0,'Income Statement 2020'!$K$22*0.1*('Payroll 2020'!G421/SUMIF($C$398:$C$436,$A$3,$G$398:$G$436)),0),0),0)</f>
        <v>0</v>
      </c>
      <c r="N421" s="224">
        <f t="shared" si="126"/>
        <v>1320</v>
      </c>
    </row>
    <row r="422" spans="1:14" outlineLevel="1" x14ac:dyDescent="0.25">
      <c r="A422" s="104" t="s">
        <v>207</v>
      </c>
      <c r="B422" s="63">
        <v>25</v>
      </c>
      <c r="C422" s="105"/>
      <c r="D422" s="5" t="s">
        <v>486</v>
      </c>
      <c r="E422" s="308">
        <f t="shared" si="123"/>
        <v>7.5</v>
      </c>
      <c r="F422" s="45">
        <v>176</v>
      </c>
      <c r="G422" s="303">
        <f t="shared" si="124"/>
        <v>1320</v>
      </c>
      <c r="H422" s="114"/>
      <c r="I422" s="114"/>
      <c r="J422" s="114"/>
      <c r="K422" s="114"/>
      <c r="L422" s="224">
        <f t="shared" si="125"/>
        <v>1320</v>
      </c>
      <c r="M422" s="114">
        <f>IFERROR(IF('Payroll 2020'!C422='Payroll 2020'!$A$3,IF('Income Statement 2020'!$K$22&gt;0,'Income Statement 2020'!$K$22*0.1*('Payroll 2020'!G422/SUMIF($C$398:$C$436,$A$3,$G$398:$G$436)),0),0),0)</f>
        <v>0</v>
      </c>
      <c r="N422" s="224">
        <f t="shared" si="126"/>
        <v>1320</v>
      </c>
    </row>
    <row r="423" spans="1:14" outlineLevel="1" x14ac:dyDescent="0.25">
      <c r="A423" s="104" t="s">
        <v>206</v>
      </c>
      <c r="B423" s="63">
        <v>26</v>
      </c>
      <c r="C423" s="105"/>
      <c r="D423" s="5" t="s">
        <v>486</v>
      </c>
      <c r="E423" s="308">
        <f t="shared" si="123"/>
        <v>7.5</v>
      </c>
      <c r="F423" s="45">
        <v>176</v>
      </c>
      <c r="G423" s="303">
        <f t="shared" si="124"/>
        <v>1320</v>
      </c>
      <c r="H423" s="114"/>
      <c r="I423" s="114"/>
      <c r="J423" s="114"/>
      <c r="K423" s="114"/>
      <c r="L423" s="224">
        <f t="shared" si="125"/>
        <v>1320</v>
      </c>
      <c r="M423" s="114">
        <f>IFERROR(IF('Payroll 2020'!C423='Payroll 2020'!$A$3,IF('Income Statement 2020'!$K$22&gt;0,'Income Statement 2020'!$K$22*0.1*('Payroll 2020'!G423/SUMIF($C$398:$C$436,$A$3,$G$398:$G$436)),0),0),0)</f>
        <v>0</v>
      </c>
      <c r="N423" s="224">
        <f t="shared" si="126"/>
        <v>1320</v>
      </c>
    </row>
    <row r="424" spans="1:14" outlineLevel="1" x14ac:dyDescent="0.25">
      <c r="A424" s="18" t="s">
        <v>245</v>
      </c>
      <c r="B424" s="63">
        <v>27</v>
      </c>
      <c r="C424" s="5" t="s">
        <v>3</v>
      </c>
      <c r="D424" s="5" t="s">
        <v>485</v>
      </c>
      <c r="E424" s="308">
        <f t="shared" si="123"/>
        <v>30</v>
      </c>
      <c r="F424" s="45">
        <f t="shared" ref="F424:F436" si="127">IF(C424=$A$3,$C$3*NETWORKDAYS($C$395,$E$395),0)</f>
        <v>176</v>
      </c>
      <c r="G424" s="224">
        <f t="shared" ref="G424:G436" si="128">IFERROR(E424*F424,0)</f>
        <v>5280</v>
      </c>
      <c r="H424" s="114">
        <f t="shared" ref="H424:H436" si="129">IFERROR(G424*$H$37,0)</f>
        <v>422.40000000000009</v>
      </c>
      <c r="I424" s="114">
        <f t="shared" ref="I424:I436" si="130">IFERROR(G424*$I$37,0)</f>
        <v>253.44</v>
      </c>
      <c r="J424" s="114">
        <f t="shared" ref="J424:J436" si="131">IF(C424=$A$3,G424*$J$37,0)</f>
        <v>422.40000000000009</v>
      </c>
      <c r="K424" s="114">
        <f t="shared" ref="K424:K436" si="132">IF(C424=$A$3,G424*$K$37,0)</f>
        <v>0</v>
      </c>
      <c r="L424" s="224">
        <f t="shared" si="125"/>
        <v>4181.76</v>
      </c>
      <c r="M424" s="114">
        <f>IFERROR(IF('Payroll 2020'!C424='Payroll 2020'!$A$3,IF('Income Statement 2020'!$K$22&gt;0,'Income Statement 2020'!$K$22*0.1*('Payroll 2020'!G424/SUMIF($C$398:$C$436,$A$3,$G$398:$G$436)),0),0),0)</f>
        <v>0</v>
      </c>
      <c r="N424" s="224">
        <f t="shared" si="126"/>
        <v>4181.76</v>
      </c>
    </row>
    <row r="425" spans="1:14" outlineLevel="1" x14ac:dyDescent="0.25">
      <c r="A425" s="18" t="s">
        <v>230</v>
      </c>
      <c r="B425" s="63">
        <v>28</v>
      </c>
      <c r="C425" s="5" t="s">
        <v>3</v>
      </c>
      <c r="D425" s="5" t="s">
        <v>485</v>
      </c>
      <c r="E425" s="308">
        <f t="shared" si="123"/>
        <v>23</v>
      </c>
      <c r="F425" s="45">
        <f t="shared" si="127"/>
        <v>176</v>
      </c>
      <c r="G425" s="224">
        <f t="shared" si="128"/>
        <v>4048</v>
      </c>
      <c r="H425" s="114">
        <f t="shared" si="129"/>
        <v>323.84000000000009</v>
      </c>
      <c r="I425" s="114">
        <f t="shared" si="130"/>
        <v>194.304</v>
      </c>
      <c r="J425" s="114">
        <f t="shared" si="131"/>
        <v>323.84000000000009</v>
      </c>
      <c r="K425" s="114">
        <f t="shared" si="132"/>
        <v>0</v>
      </c>
      <c r="L425" s="224">
        <f t="shared" si="125"/>
        <v>3206.0159999999996</v>
      </c>
      <c r="M425" s="114">
        <f>IFERROR(IF('Payroll 2020'!C425='Payroll 2020'!$A$3,IF('Income Statement 2020'!$K$22&gt;0,'Income Statement 2020'!$K$22*0.1*('Payroll 2020'!G425/SUMIF($C$398:$C$436,$A$3,$G$398:$G$436)),0),0),0)</f>
        <v>0</v>
      </c>
      <c r="N425" s="224">
        <f t="shared" si="126"/>
        <v>3206.0159999999996</v>
      </c>
    </row>
    <row r="426" spans="1:14" outlineLevel="1" x14ac:dyDescent="0.25">
      <c r="A426" s="18" t="s">
        <v>231</v>
      </c>
      <c r="B426" s="63">
        <v>29</v>
      </c>
      <c r="C426" s="5" t="s">
        <v>3</v>
      </c>
      <c r="D426" s="5" t="s">
        <v>485</v>
      </c>
      <c r="E426" s="308">
        <f t="shared" si="123"/>
        <v>17</v>
      </c>
      <c r="F426" s="45">
        <f t="shared" si="127"/>
        <v>176</v>
      </c>
      <c r="G426" s="224">
        <f t="shared" si="128"/>
        <v>2992</v>
      </c>
      <c r="H426" s="114">
        <f t="shared" si="129"/>
        <v>239.36000000000004</v>
      </c>
      <c r="I426" s="114">
        <f t="shared" si="130"/>
        <v>143.61600000000001</v>
      </c>
      <c r="J426" s="114">
        <f t="shared" si="131"/>
        <v>239.36000000000004</v>
      </c>
      <c r="K426" s="114">
        <f t="shared" si="132"/>
        <v>0</v>
      </c>
      <c r="L426" s="224">
        <f t="shared" si="125"/>
        <v>2369.6639999999998</v>
      </c>
      <c r="M426" s="114">
        <f>IFERROR(IF('Payroll 2020'!C426='Payroll 2020'!$A$3,IF('Income Statement 2020'!$K$22&gt;0,'Income Statement 2020'!$K$22*0.1*('Payroll 2020'!G426/SUMIF($C$398:$C$436,$A$3,$G$398:$G$436)),0),0),0)</f>
        <v>0</v>
      </c>
      <c r="N426" s="224">
        <f t="shared" si="126"/>
        <v>2369.6639999999998</v>
      </c>
    </row>
    <row r="427" spans="1:14" outlineLevel="1" x14ac:dyDescent="0.25">
      <c r="A427" s="18" t="s">
        <v>231</v>
      </c>
      <c r="B427" s="63">
        <v>30</v>
      </c>
      <c r="C427" s="5"/>
      <c r="D427" s="5" t="s">
        <v>485</v>
      </c>
      <c r="E427" s="308">
        <f t="shared" si="123"/>
        <v>17</v>
      </c>
      <c r="F427" s="45">
        <f t="shared" si="127"/>
        <v>0</v>
      </c>
      <c r="G427" s="224">
        <f t="shared" si="128"/>
        <v>0</v>
      </c>
      <c r="H427" s="114">
        <f t="shared" si="129"/>
        <v>0</v>
      </c>
      <c r="I427" s="114">
        <f t="shared" si="130"/>
        <v>0</v>
      </c>
      <c r="J427" s="114">
        <f t="shared" si="131"/>
        <v>0</v>
      </c>
      <c r="K427" s="114">
        <f t="shared" si="132"/>
        <v>0</v>
      </c>
      <c r="L427" s="224">
        <f t="shared" si="125"/>
        <v>0</v>
      </c>
      <c r="M427" s="114">
        <f>IFERROR(IF('Payroll 2020'!C427='Payroll 2020'!$A$3,IF('Income Statement 2020'!$K$22&gt;0,'Income Statement 2020'!$K$22*0.1*('Payroll 2020'!G427/SUMIF($C$398:$C$436,$A$3,$G$398:$G$436)),0),0),0)</f>
        <v>0</v>
      </c>
      <c r="N427" s="224">
        <f t="shared" si="126"/>
        <v>0</v>
      </c>
    </row>
    <row r="428" spans="1:14" outlineLevel="1" x14ac:dyDescent="0.25">
      <c r="A428" s="18" t="s">
        <v>230</v>
      </c>
      <c r="B428" s="63">
        <v>31</v>
      </c>
      <c r="C428" s="5"/>
      <c r="D428" s="5" t="s">
        <v>485</v>
      </c>
      <c r="E428" s="124">
        <f>E425</f>
        <v>23</v>
      </c>
      <c r="F428" s="45">
        <f t="shared" si="127"/>
        <v>0</v>
      </c>
      <c r="G428" s="224">
        <f t="shared" si="128"/>
        <v>0</v>
      </c>
      <c r="H428" s="114">
        <f t="shared" si="129"/>
        <v>0</v>
      </c>
      <c r="I428" s="114">
        <f t="shared" si="130"/>
        <v>0</v>
      </c>
      <c r="J428" s="114">
        <f t="shared" si="131"/>
        <v>0</v>
      </c>
      <c r="K428" s="114">
        <f t="shared" si="132"/>
        <v>0</v>
      </c>
      <c r="L428" s="224">
        <f t="shared" si="125"/>
        <v>0</v>
      </c>
      <c r="M428" s="114">
        <f>IFERROR(IF('Payroll 2020'!C428='Payroll 2020'!$A$3,IF('Income Statement 2020'!$K$22&gt;0,'Income Statement 2020'!$K$22*0.1*('Payroll 2020'!G428/SUMIF($C$398:$C$436,$A$3,$G$398:$G$436)),0),0),0)</f>
        <v>0</v>
      </c>
      <c r="N428" s="224">
        <f t="shared" si="126"/>
        <v>0</v>
      </c>
    </row>
    <row r="429" spans="1:14" outlineLevel="1" x14ac:dyDescent="0.25">
      <c r="A429" s="18" t="s">
        <v>231</v>
      </c>
      <c r="B429" s="63">
        <v>32</v>
      </c>
      <c r="C429" s="5"/>
      <c r="D429" s="5" t="s">
        <v>485</v>
      </c>
      <c r="E429" s="124">
        <f>E426</f>
        <v>17</v>
      </c>
      <c r="F429" s="45">
        <f t="shared" si="127"/>
        <v>0</v>
      </c>
      <c r="G429" s="224">
        <f t="shared" si="128"/>
        <v>0</v>
      </c>
      <c r="H429" s="114">
        <f t="shared" si="129"/>
        <v>0</v>
      </c>
      <c r="I429" s="114">
        <f t="shared" si="130"/>
        <v>0</v>
      </c>
      <c r="J429" s="114">
        <f t="shared" si="131"/>
        <v>0</v>
      </c>
      <c r="K429" s="114">
        <f t="shared" si="132"/>
        <v>0</v>
      </c>
      <c r="L429" s="224">
        <f t="shared" si="125"/>
        <v>0</v>
      </c>
      <c r="M429" s="114">
        <f>IFERROR(IF('Payroll 2020'!C429='Payroll 2020'!$A$3,IF('Income Statement 2020'!$K$22&gt;0,'Income Statement 2020'!$K$22*0.1*('Payroll 2020'!G429/SUMIF($C$398:$C$436,$A$3,$G$398:$G$436)),0),0),0)</f>
        <v>0</v>
      </c>
      <c r="N429" s="224">
        <f t="shared" si="126"/>
        <v>0</v>
      </c>
    </row>
    <row r="430" spans="1:14" outlineLevel="1" x14ac:dyDescent="0.25">
      <c r="A430" s="18" t="s">
        <v>231</v>
      </c>
      <c r="B430" s="63">
        <v>33</v>
      </c>
      <c r="C430" s="5"/>
      <c r="D430" s="5" t="s">
        <v>485</v>
      </c>
      <c r="E430" s="124">
        <f>E426</f>
        <v>17</v>
      </c>
      <c r="F430" s="45">
        <f t="shared" si="127"/>
        <v>0</v>
      </c>
      <c r="G430" s="224">
        <f t="shared" si="128"/>
        <v>0</v>
      </c>
      <c r="H430" s="114">
        <f t="shared" si="129"/>
        <v>0</v>
      </c>
      <c r="I430" s="114">
        <f t="shared" si="130"/>
        <v>0</v>
      </c>
      <c r="J430" s="114">
        <f t="shared" si="131"/>
        <v>0</v>
      </c>
      <c r="K430" s="114">
        <f t="shared" si="132"/>
        <v>0</v>
      </c>
      <c r="L430" s="224">
        <f t="shared" si="125"/>
        <v>0</v>
      </c>
      <c r="M430" s="114">
        <f>IFERROR(IF('Payroll 2020'!C430='Payroll 2020'!$A$3,IF('Income Statement 2020'!$K$22&gt;0,'Income Statement 2020'!$K$22*0.1*('Payroll 2020'!G430/SUMIF($C$398:$C$436,$A$3,$G$398:$G$436)),0),0),0)</f>
        <v>0</v>
      </c>
      <c r="N430" s="224">
        <f t="shared" si="126"/>
        <v>0</v>
      </c>
    </row>
    <row r="431" spans="1:14" outlineLevel="1" x14ac:dyDescent="0.25">
      <c r="A431" s="18"/>
      <c r="B431" s="63">
        <v>34</v>
      </c>
      <c r="E431" s="124"/>
      <c r="F431" s="45">
        <f t="shared" si="127"/>
        <v>0</v>
      </c>
      <c r="G431" s="224">
        <f t="shared" si="128"/>
        <v>0</v>
      </c>
      <c r="H431" s="114">
        <f t="shared" si="129"/>
        <v>0</v>
      </c>
      <c r="I431" s="114">
        <f t="shared" si="130"/>
        <v>0</v>
      </c>
      <c r="J431" s="114">
        <f t="shared" si="131"/>
        <v>0</v>
      </c>
      <c r="K431" s="114">
        <f t="shared" si="132"/>
        <v>0</v>
      </c>
      <c r="L431" s="224">
        <f t="shared" si="125"/>
        <v>0</v>
      </c>
      <c r="M431" s="114">
        <f>IFERROR(IF('Payroll 2020'!C431='Payroll 2020'!$A$3,IF('Income Statement 2020'!$K$22&gt;0,'Income Statement 2020'!$K$22*0.1*('Payroll 2020'!G431/SUMIF($C$398:$C$436,$A$3,$G$398:$G$436)),0),0),0)</f>
        <v>0</v>
      </c>
      <c r="N431" s="224">
        <f t="shared" si="126"/>
        <v>0</v>
      </c>
    </row>
    <row r="432" spans="1:14" outlineLevel="1" x14ac:dyDescent="0.25">
      <c r="A432" s="18"/>
      <c r="B432" s="63">
        <v>35</v>
      </c>
      <c r="E432" s="124"/>
      <c r="F432" s="45">
        <f t="shared" si="127"/>
        <v>0</v>
      </c>
      <c r="G432" s="224">
        <f t="shared" si="128"/>
        <v>0</v>
      </c>
      <c r="H432" s="114">
        <f t="shared" si="129"/>
        <v>0</v>
      </c>
      <c r="I432" s="114">
        <f t="shared" si="130"/>
        <v>0</v>
      </c>
      <c r="J432" s="114">
        <f t="shared" si="131"/>
        <v>0</v>
      </c>
      <c r="K432" s="114">
        <f t="shared" si="132"/>
        <v>0</v>
      </c>
      <c r="L432" s="224">
        <f t="shared" si="125"/>
        <v>0</v>
      </c>
      <c r="M432" s="114">
        <f>IFERROR(IF('Payroll 2020'!C432='Payroll 2020'!$A$3,IF('Income Statement 2020'!$K$22&gt;0,'Income Statement 2020'!$K$22*0.1*('Payroll 2020'!G432/SUMIF($C$398:$C$436,$A$3,$G$398:$G$436)),0),0),0)</f>
        <v>0</v>
      </c>
      <c r="N432" s="224">
        <f t="shared" si="126"/>
        <v>0</v>
      </c>
    </row>
    <row r="433" spans="1:14" outlineLevel="1" x14ac:dyDescent="0.25">
      <c r="A433" s="18"/>
      <c r="B433" s="63">
        <v>36</v>
      </c>
      <c r="E433" s="124"/>
      <c r="F433" s="45">
        <f t="shared" si="127"/>
        <v>0</v>
      </c>
      <c r="G433" s="224">
        <f t="shared" si="128"/>
        <v>0</v>
      </c>
      <c r="H433" s="114">
        <f t="shared" si="129"/>
        <v>0</v>
      </c>
      <c r="I433" s="114">
        <f t="shared" si="130"/>
        <v>0</v>
      </c>
      <c r="J433" s="114">
        <f t="shared" si="131"/>
        <v>0</v>
      </c>
      <c r="K433" s="114">
        <f t="shared" si="132"/>
        <v>0</v>
      </c>
      <c r="L433" s="224">
        <f t="shared" si="125"/>
        <v>0</v>
      </c>
      <c r="M433" s="114">
        <f>IFERROR(IF('Payroll 2020'!C433='Payroll 2020'!$A$3,IF('Income Statement 2020'!$K$22&gt;0,'Income Statement 2020'!$K$22*0.1*('Payroll 2020'!G433/SUMIF($C$398:$C$436,$A$3,$G$398:$G$436)),0),0),0)</f>
        <v>0</v>
      </c>
      <c r="N433" s="224">
        <f t="shared" si="126"/>
        <v>0</v>
      </c>
    </row>
    <row r="434" spans="1:14" outlineLevel="1" x14ac:dyDescent="0.25">
      <c r="A434" s="18" t="s">
        <v>569</v>
      </c>
      <c r="B434" s="63">
        <v>37</v>
      </c>
      <c r="C434" s="1" t="s">
        <v>3</v>
      </c>
      <c r="D434" s="5" t="s">
        <v>488</v>
      </c>
      <c r="E434" s="124">
        <v>20</v>
      </c>
      <c r="F434" s="45">
        <f t="shared" ref="F434" si="133">IF(C434=$A$3,$C$3*NETWORKDAYS($C$530,$E$530),0)</f>
        <v>184</v>
      </c>
      <c r="G434" s="224">
        <f t="shared" si="128"/>
        <v>3680</v>
      </c>
      <c r="H434" s="114">
        <f t="shared" si="129"/>
        <v>294.40000000000003</v>
      </c>
      <c r="I434" s="114">
        <f t="shared" si="130"/>
        <v>176.64000000000001</v>
      </c>
      <c r="J434" s="114">
        <f t="shared" si="131"/>
        <v>294.40000000000003</v>
      </c>
      <c r="K434" s="114">
        <f t="shared" si="132"/>
        <v>0</v>
      </c>
      <c r="L434" s="224">
        <f t="shared" si="125"/>
        <v>2914.56</v>
      </c>
      <c r="M434" s="114">
        <f>IFERROR(IF('Payroll 2020'!C434='Payroll 2020'!$A$3,IF('Income Statement 2020'!$N$22&gt;0,'Income Statement 2020'!$N$22*0.1*('Payroll 2020'!G434/SUMIF($C$533:$C$571,$A$3,$G$533:$G$571)),0),0),0)</f>
        <v>0</v>
      </c>
      <c r="N434" s="224">
        <f t="shared" si="126"/>
        <v>2914.56</v>
      </c>
    </row>
    <row r="435" spans="1:14" outlineLevel="1" x14ac:dyDescent="0.25">
      <c r="A435" s="18"/>
      <c r="B435" s="63">
        <v>38</v>
      </c>
      <c r="E435" s="124"/>
      <c r="F435" s="45">
        <f t="shared" si="127"/>
        <v>0</v>
      </c>
      <c r="G435" s="224">
        <f t="shared" si="128"/>
        <v>0</v>
      </c>
      <c r="H435" s="114">
        <f t="shared" si="129"/>
        <v>0</v>
      </c>
      <c r="I435" s="114">
        <f t="shared" si="130"/>
        <v>0</v>
      </c>
      <c r="J435" s="114">
        <f t="shared" si="131"/>
        <v>0</v>
      </c>
      <c r="K435" s="114">
        <f t="shared" si="132"/>
        <v>0</v>
      </c>
      <c r="L435" s="224">
        <f t="shared" si="125"/>
        <v>0</v>
      </c>
      <c r="M435" s="114">
        <f>IFERROR(IF('Payroll 2020'!C435='Payroll 2020'!$A$3,IF('Income Statement 2020'!$K$22&gt;0,'Income Statement 2020'!$K$22*0.1*('Payroll 2020'!G435/SUMIF($C$398:$C$436,$A$3,$G$398:$G$436)),0),0),0)</f>
        <v>0</v>
      </c>
      <c r="N435" s="224">
        <f t="shared" si="126"/>
        <v>0</v>
      </c>
    </row>
    <row r="436" spans="1:14" ht="17" outlineLevel="1" thickBot="1" x14ac:dyDescent="0.3">
      <c r="A436" s="19"/>
      <c r="B436" s="126">
        <v>39</v>
      </c>
      <c r="C436" s="16"/>
      <c r="D436" s="16"/>
      <c r="E436" s="310"/>
      <c r="F436" s="46">
        <f t="shared" si="127"/>
        <v>0</v>
      </c>
      <c r="G436" s="306">
        <f t="shared" si="128"/>
        <v>0</v>
      </c>
      <c r="H436" s="305">
        <f t="shared" si="129"/>
        <v>0</v>
      </c>
      <c r="I436" s="305">
        <f t="shared" si="130"/>
        <v>0</v>
      </c>
      <c r="J436" s="305">
        <f t="shared" si="131"/>
        <v>0</v>
      </c>
      <c r="K436" s="305">
        <f t="shared" si="132"/>
        <v>0</v>
      </c>
      <c r="L436" s="306">
        <f t="shared" si="125"/>
        <v>0</v>
      </c>
      <c r="M436" s="305">
        <f>IFERROR(IF('Payroll 2020'!C436='Payroll 2020'!$A$3,IF('Income Statement 2020'!$K$22&gt;0,'Income Statement 2020'!$K$22*0.1*('Payroll 2020'!G436/SUMIF($C$398:$C$436,$A$3,$G$398:$G$436)),0),0),0)</f>
        <v>0</v>
      </c>
      <c r="N436" s="306">
        <f t="shared" si="126"/>
        <v>0</v>
      </c>
    </row>
    <row r="437" spans="1:14" outlineLevel="1" x14ac:dyDescent="0.25">
      <c r="A437" s="2" t="s">
        <v>19</v>
      </c>
      <c r="B437" s="2"/>
      <c r="C437" s="2"/>
      <c r="D437" s="2"/>
      <c r="E437" s="313">
        <f>AVERAGE(E398:E436)</f>
        <v>21.441176470588236</v>
      </c>
      <c r="F437" s="39">
        <f>IFERROR(SUM(F398:F436),"")</f>
        <v>4760</v>
      </c>
      <c r="G437" s="224">
        <f t="shared" ref="G437:N437" si="134">IFERROR(SUM(G398:G436),"")</f>
        <v>103648</v>
      </c>
      <c r="H437" s="224">
        <f t="shared" si="134"/>
        <v>7165.44</v>
      </c>
      <c r="I437" s="224">
        <f t="shared" si="134"/>
        <v>4299.264000000001</v>
      </c>
      <c r="J437" s="224">
        <f t="shared" si="134"/>
        <v>7165.44</v>
      </c>
      <c r="K437" s="224">
        <f t="shared" si="134"/>
        <v>0</v>
      </c>
      <c r="L437" s="224">
        <f t="shared" si="134"/>
        <v>85017.856</v>
      </c>
      <c r="M437" s="224">
        <f t="shared" si="134"/>
        <v>0</v>
      </c>
      <c r="N437" s="224">
        <f t="shared" si="134"/>
        <v>85017.856</v>
      </c>
    </row>
    <row r="438" spans="1:14" outlineLevel="1" x14ac:dyDescent="0.25"/>
    <row r="440" spans="1:14" x14ac:dyDescent="0.25">
      <c r="A440" s="2" t="s">
        <v>29</v>
      </c>
      <c r="B440" s="1" t="s">
        <v>17</v>
      </c>
      <c r="C440" s="20">
        <v>44105</v>
      </c>
      <c r="D440" s="1" t="s">
        <v>18</v>
      </c>
      <c r="E440" s="20">
        <v>44135</v>
      </c>
      <c r="F440" s="1" t="s">
        <v>42</v>
      </c>
      <c r="G440" s="1">
        <f>NETWORKDAYS(C440,E440)</f>
        <v>22</v>
      </c>
    </row>
    <row r="441" spans="1:14" ht="68" outlineLevel="1" x14ac:dyDescent="0.25">
      <c r="A441" s="11" t="s">
        <v>2</v>
      </c>
      <c r="B441" s="10" t="s">
        <v>12</v>
      </c>
      <c r="C441" s="10" t="s">
        <v>1</v>
      </c>
      <c r="D441" s="10" t="s">
        <v>483</v>
      </c>
      <c r="E441" s="10" t="s">
        <v>13</v>
      </c>
      <c r="F441" s="10" t="s">
        <v>15</v>
      </c>
      <c r="G441" s="10" t="str">
        <f>G396</f>
        <v>Monthly Wage including all charges</v>
      </c>
      <c r="H441" s="10" t="str">
        <f t="shared" ref="H441:J441" si="135">H396</f>
        <v>URSSAF</v>
      </c>
      <c r="I441" s="10" t="str">
        <f t="shared" si="135"/>
        <v>Impot à la source</v>
      </c>
      <c r="J441" s="10" t="str">
        <f t="shared" si="135"/>
        <v>Employee Pension</v>
      </c>
      <c r="K441" s="10"/>
      <c r="L441" s="10" t="s">
        <v>14</v>
      </c>
      <c r="M441" s="10" t="s">
        <v>11</v>
      </c>
      <c r="N441" s="10" t="s">
        <v>20</v>
      </c>
    </row>
    <row r="442" spans="1:14" ht="17" outlineLevel="1" thickBot="1" x14ac:dyDescent="0.3">
      <c r="A442" s="12"/>
      <c r="B442" s="13"/>
      <c r="C442" s="13"/>
      <c r="D442" s="13"/>
      <c r="E442" s="13"/>
      <c r="F442" s="13"/>
      <c r="G442" s="316">
        <f>H442+I442+J442</f>
        <v>0.20800000000000002</v>
      </c>
      <c r="H442" s="315">
        <f>H397</f>
        <v>8.0000000000000016E-2</v>
      </c>
      <c r="I442" s="315">
        <f t="shared" ref="I442:J442" si="136">I397</f>
        <v>4.8000000000000001E-2</v>
      </c>
      <c r="J442" s="315">
        <f t="shared" si="136"/>
        <v>8.0000000000000016E-2</v>
      </c>
      <c r="K442" s="14"/>
      <c r="L442" s="15"/>
      <c r="M442" s="14">
        <f>'Payroll 2020-2024'!$L$12</f>
        <v>0.1</v>
      </c>
      <c r="N442" s="15"/>
    </row>
    <row r="443" spans="1:14" outlineLevel="1" x14ac:dyDescent="0.25">
      <c r="A443" s="104" t="s">
        <v>178</v>
      </c>
      <c r="B443" s="63">
        <v>1</v>
      </c>
      <c r="C443" s="105" t="s">
        <v>3</v>
      </c>
      <c r="D443" s="5" t="s">
        <v>484</v>
      </c>
      <c r="E443" s="311">
        <f>E398</f>
        <v>48</v>
      </c>
      <c r="F443" s="45">
        <f t="shared" ref="F443:F468" si="137">NETWORKDAYS($C$440,$E$440)*$C$3</f>
        <v>176</v>
      </c>
      <c r="G443" s="303">
        <f>IFERROR(E443*F443,0)</f>
        <v>8448</v>
      </c>
      <c r="H443" s="114">
        <f t="shared" ref="H443:H455" si="138">IFERROR(G443*$H$37,0)</f>
        <v>675.84000000000015</v>
      </c>
      <c r="I443" s="114">
        <f t="shared" ref="I443:I455" si="139">IFERROR(G443*$I$37,0)</f>
        <v>405.50400000000002</v>
      </c>
      <c r="J443" s="114">
        <f t="shared" ref="J443:J455" si="140">IF(C443=$A$3,G443*$J$37,0)</f>
        <v>675.84000000000015</v>
      </c>
      <c r="K443" s="114">
        <f t="shared" ref="K443:K455" si="141">IF(C443=$A$3,G443*$K$37,0)</f>
        <v>0</v>
      </c>
      <c r="L443" s="224">
        <f>IFERROR(G443-SUM(H443:K443),0)</f>
        <v>6690.8159999999998</v>
      </c>
      <c r="M443" s="114">
        <f>IFERROR(IF('Payroll 2020'!C443='Payroll 2020'!$A$3,IF('Income Statement 2020'!$L$22&gt;0,'Income Statement 2020'!$L$22*0.1*('Payroll 2020'!G443/SUMIF($C$443:$C$481,$A$3,$G$443:$G$481)),0),0),0)</f>
        <v>0</v>
      </c>
      <c r="N443" s="224">
        <f>IFERROR(L443+M443,0)</f>
        <v>6690.8159999999998</v>
      </c>
    </row>
    <row r="444" spans="1:14" outlineLevel="1" x14ac:dyDescent="0.25">
      <c r="A444" s="104" t="s">
        <v>179</v>
      </c>
      <c r="B444" s="63">
        <v>2</v>
      </c>
      <c r="C444" s="105" t="s">
        <v>3</v>
      </c>
      <c r="D444" s="5" t="s">
        <v>484</v>
      </c>
      <c r="E444" s="311">
        <f t="shared" ref="E444:E475" si="142">E399</f>
        <v>45</v>
      </c>
      <c r="F444" s="45">
        <f t="shared" si="137"/>
        <v>176</v>
      </c>
      <c r="G444" s="303">
        <f t="shared" ref="G444:G481" si="143">IFERROR(E444*F444,0)</f>
        <v>7920</v>
      </c>
      <c r="H444" s="114">
        <f t="shared" si="138"/>
        <v>633.60000000000014</v>
      </c>
      <c r="I444" s="114">
        <f t="shared" si="139"/>
        <v>380.16</v>
      </c>
      <c r="J444" s="114">
        <f t="shared" si="140"/>
        <v>633.60000000000014</v>
      </c>
      <c r="K444" s="114">
        <f t="shared" si="141"/>
        <v>0</v>
      </c>
      <c r="L444" s="224">
        <f t="shared" ref="L444:L481" si="144">IFERROR(G444-SUM(H444:K444),0)</f>
        <v>6272.6399999999994</v>
      </c>
      <c r="M444" s="114">
        <f>IFERROR(IF('Payroll 2020'!C444='Payroll 2020'!$A$3,IF('Income Statement 2020'!$L$22&gt;0,'Income Statement 2020'!$L$22*0.1*('Payroll 2020'!G444/SUMIF($C$443:$C$481,$A$3,$G$443:$G$481)),0),0),0)</f>
        <v>0</v>
      </c>
      <c r="N444" s="224">
        <f t="shared" ref="N444:N481" si="145">IFERROR(L444+M444,0)</f>
        <v>6272.6399999999994</v>
      </c>
    </row>
    <row r="445" spans="1:14" outlineLevel="1" x14ac:dyDescent="0.25">
      <c r="A445" s="104" t="s">
        <v>180</v>
      </c>
      <c r="B445" s="63">
        <v>3</v>
      </c>
      <c r="C445" s="105" t="s">
        <v>3</v>
      </c>
      <c r="D445" s="5" t="s">
        <v>484</v>
      </c>
      <c r="E445" s="311">
        <f t="shared" si="142"/>
        <v>37</v>
      </c>
      <c r="F445" s="45">
        <f t="shared" si="137"/>
        <v>176</v>
      </c>
      <c r="G445" s="303">
        <f t="shared" si="143"/>
        <v>6512</v>
      </c>
      <c r="H445" s="114">
        <f t="shared" si="138"/>
        <v>520.96000000000015</v>
      </c>
      <c r="I445" s="114">
        <f t="shared" si="139"/>
        <v>312.57600000000002</v>
      </c>
      <c r="J445" s="114">
        <f t="shared" si="140"/>
        <v>520.96000000000015</v>
      </c>
      <c r="K445" s="114">
        <f t="shared" si="141"/>
        <v>0</v>
      </c>
      <c r="L445" s="224">
        <f t="shared" si="144"/>
        <v>5157.5039999999999</v>
      </c>
      <c r="M445" s="114">
        <f>IFERROR(IF('Payroll 2020'!C445='Payroll 2020'!$A$3,IF('Income Statement 2020'!$L$22&gt;0,'Income Statement 2020'!$L$22*0.1*('Payroll 2020'!G445/SUMIF($C$443:$C$481,$A$3,$G$443:$G$481)),0),0),0)</f>
        <v>0</v>
      </c>
      <c r="N445" s="224">
        <f t="shared" si="145"/>
        <v>5157.5039999999999</v>
      </c>
    </row>
    <row r="446" spans="1:14" outlineLevel="1" x14ac:dyDescent="0.25">
      <c r="A446" s="104" t="s">
        <v>181</v>
      </c>
      <c r="B446" s="63">
        <v>4</v>
      </c>
      <c r="C446" s="105" t="s">
        <v>3</v>
      </c>
      <c r="D446" s="5" t="s">
        <v>485</v>
      </c>
      <c r="E446" s="311">
        <f t="shared" si="142"/>
        <v>23</v>
      </c>
      <c r="F446" s="45">
        <f t="shared" si="137"/>
        <v>176</v>
      </c>
      <c r="G446" s="303">
        <f t="shared" si="143"/>
        <v>4048</v>
      </c>
      <c r="H446" s="114">
        <f t="shared" si="138"/>
        <v>323.84000000000009</v>
      </c>
      <c r="I446" s="114">
        <f t="shared" si="139"/>
        <v>194.304</v>
      </c>
      <c r="J446" s="114">
        <f t="shared" si="140"/>
        <v>323.84000000000009</v>
      </c>
      <c r="K446" s="114">
        <f t="shared" si="141"/>
        <v>0</v>
      </c>
      <c r="L446" s="224">
        <f t="shared" si="144"/>
        <v>3206.0159999999996</v>
      </c>
      <c r="M446" s="114">
        <f>IFERROR(IF('Payroll 2020'!C446='Payroll 2020'!$A$3,IF('Income Statement 2020'!$L$22&gt;0,'Income Statement 2020'!$L$22*0.1*('Payroll 2020'!G446/SUMIF($C$443:$C$481,$A$3,$G$443:$G$481)),0),0),0)</f>
        <v>0</v>
      </c>
      <c r="N446" s="224">
        <f t="shared" si="145"/>
        <v>3206.0159999999996</v>
      </c>
    </row>
    <row r="447" spans="1:14" outlineLevel="1" x14ac:dyDescent="0.25">
      <c r="A447" s="104" t="s">
        <v>182</v>
      </c>
      <c r="B447" s="63">
        <v>5</v>
      </c>
      <c r="C447" s="105" t="s">
        <v>3</v>
      </c>
      <c r="D447" s="5" t="s">
        <v>486</v>
      </c>
      <c r="E447" s="311">
        <f t="shared" si="142"/>
        <v>40</v>
      </c>
      <c r="F447" s="45">
        <f t="shared" si="137"/>
        <v>176</v>
      </c>
      <c r="G447" s="303">
        <f t="shared" si="143"/>
        <v>7040</v>
      </c>
      <c r="H447" s="114">
        <f t="shared" si="138"/>
        <v>563.20000000000016</v>
      </c>
      <c r="I447" s="114">
        <f t="shared" si="139"/>
        <v>337.92</v>
      </c>
      <c r="J447" s="114">
        <f t="shared" si="140"/>
        <v>563.20000000000016</v>
      </c>
      <c r="K447" s="114">
        <f t="shared" si="141"/>
        <v>0</v>
      </c>
      <c r="L447" s="224">
        <f t="shared" si="144"/>
        <v>5575.68</v>
      </c>
      <c r="M447" s="114">
        <f>IFERROR(IF('Payroll 2020'!C447='Payroll 2020'!$A$3,IF('Income Statement 2020'!$L$22&gt;0,'Income Statement 2020'!$L$22*0.1*('Payroll 2020'!G447/SUMIF($C$443:$C$481,$A$3,$G$443:$G$481)),0),0),0)</f>
        <v>0</v>
      </c>
      <c r="N447" s="224">
        <f t="shared" si="145"/>
        <v>5575.68</v>
      </c>
    </row>
    <row r="448" spans="1:14" outlineLevel="1" x14ac:dyDescent="0.25">
      <c r="A448" s="104" t="s">
        <v>198</v>
      </c>
      <c r="B448" s="63">
        <v>6</v>
      </c>
      <c r="C448" s="105" t="s">
        <v>3</v>
      </c>
      <c r="D448" s="5" t="s">
        <v>486</v>
      </c>
      <c r="E448" s="311">
        <f t="shared" si="142"/>
        <v>28</v>
      </c>
      <c r="F448" s="45">
        <f t="shared" si="137"/>
        <v>176</v>
      </c>
      <c r="G448" s="303">
        <f t="shared" si="143"/>
        <v>4928</v>
      </c>
      <c r="H448" s="114">
        <f t="shared" si="138"/>
        <v>394.24000000000007</v>
      </c>
      <c r="I448" s="114">
        <f t="shared" si="139"/>
        <v>236.54400000000001</v>
      </c>
      <c r="J448" s="114">
        <f t="shared" si="140"/>
        <v>394.24000000000007</v>
      </c>
      <c r="K448" s="114">
        <f t="shared" si="141"/>
        <v>0</v>
      </c>
      <c r="L448" s="224">
        <f t="shared" si="144"/>
        <v>3902.9759999999997</v>
      </c>
      <c r="M448" s="114">
        <f>IFERROR(IF('Payroll 2020'!C448='Payroll 2020'!$A$3,IF('Income Statement 2020'!$L$22&gt;0,'Income Statement 2020'!$L$22*0.1*('Payroll 2020'!G448/SUMIF($C$443:$C$481,$A$3,$G$443:$G$481)),0),0),0)</f>
        <v>0</v>
      </c>
      <c r="N448" s="224">
        <f t="shared" si="145"/>
        <v>3902.9759999999997</v>
      </c>
    </row>
    <row r="449" spans="1:14" outlineLevel="1" x14ac:dyDescent="0.25">
      <c r="A449" s="104" t="s">
        <v>199</v>
      </c>
      <c r="B449" s="63">
        <v>7</v>
      </c>
      <c r="C449" s="105" t="s">
        <v>3</v>
      </c>
      <c r="D449" s="5" t="s">
        <v>486</v>
      </c>
      <c r="E449" s="311">
        <f t="shared" si="142"/>
        <v>23</v>
      </c>
      <c r="F449" s="45">
        <f t="shared" si="137"/>
        <v>176</v>
      </c>
      <c r="G449" s="303">
        <f t="shared" si="143"/>
        <v>4048</v>
      </c>
      <c r="H449" s="114">
        <f t="shared" si="138"/>
        <v>323.84000000000009</v>
      </c>
      <c r="I449" s="114">
        <f t="shared" si="139"/>
        <v>194.304</v>
      </c>
      <c r="J449" s="114">
        <f t="shared" si="140"/>
        <v>323.84000000000009</v>
      </c>
      <c r="K449" s="114">
        <f t="shared" si="141"/>
        <v>0</v>
      </c>
      <c r="L449" s="224">
        <f t="shared" si="144"/>
        <v>3206.0159999999996</v>
      </c>
      <c r="M449" s="114">
        <f>IFERROR(IF('Payroll 2020'!C449='Payroll 2020'!$A$3,IF('Income Statement 2020'!$L$22&gt;0,'Income Statement 2020'!$L$22*0.1*('Payroll 2020'!G449/SUMIF($C$443:$C$481,$A$3,$G$443:$G$481)),0),0),0)</f>
        <v>0</v>
      </c>
      <c r="N449" s="224">
        <f t="shared" si="145"/>
        <v>3206.0159999999996</v>
      </c>
    </row>
    <row r="450" spans="1:14" outlineLevel="1" x14ac:dyDescent="0.25">
      <c r="A450" s="104" t="s">
        <v>200</v>
      </c>
      <c r="B450" s="63">
        <v>8</v>
      </c>
      <c r="C450" s="105" t="s">
        <v>3</v>
      </c>
      <c r="D450" s="5" t="s">
        <v>486</v>
      </c>
      <c r="E450" s="311">
        <f t="shared" si="142"/>
        <v>23</v>
      </c>
      <c r="F450" s="45">
        <f t="shared" si="137"/>
        <v>176</v>
      </c>
      <c r="G450" s="303">
        <f t="shared" si="143"/>
        <v>4048</v>
      </c>
      <c r="H450" s="114">
        <f t="shared" si="138"/>
        <v>323.84000000000009</v>
      </c>
      <c r="I450" s="114">
        <f t="shared" si="139"/>
        <v>194.304</v>
      </c>
      <c r="J450" s="114">
        <f t="shared" si="140"/>
        <v>323.84000000000009</v>
      </c>
      <c r="K450" s="114">
        <f t="shared" si="141"/>
        <v>0</v>
      </c>
      <c r="L450" s="224">
        <f t="shared" si="144"/>
        <v>3206.0159999999996</v>
      </c>
      <c r="M450" s="114">
        <f>IFERROR(IF('Payroll 2020'!C450='Payroll 2020'!$A$3,IF('Income Statement 2020'!$L$22&gt;0,'Income Statement 2020'!$L$22*0.1*('Payroll 2020'!G450/SUMIF($C$443:$C$481,$A$3,$G$443:$G$481)),0),0),0)</f>
        <v>0</v>
      </c>
      <c r="N450" s="224">
        <f t="shared" si="145"/>
        <v>3206.0159999999996</v>
      </c>
    </row>
    <row r="451" spans="1:14" outlineLevel="1" x14ac:dyDescent="0.25">
      <c r="A451" s="104" t="s">
        <v>184</v>
      </c>
      <c r="B451" s="63">
        <v>9</v>
      </c>
      <c r="C451" s="105" t="s">
        <v>3</v>
      </c>
      <c r="D451" s="5" t="s">
        <v>487</v>
      </c>
      <c r="E451" s="311">
        <f t="shared" si="142"/>
        <v>18</v>
      </c>
      <c r="F451" s="45">
        <f t="shared" si="137"/>
        <v>176</v>
      </c>
      <c r="G451" s="303">
        <f t="shared" si="143"/>
        <v>3168</v>
      </c>
      <c r="H451" s="114">
        <f t="shared" si="138"/>
        <v>253.44000000000005</v>
      </c>
      <c r="I451" s="114">
        <f t="shared" si="139"/>
        <v>152.06399999999999</v>
      </c>
      <c r="J451" s="114">
        <f t="shared" si="140"/>
        <v>253.44000000000005</v>
      </c>
      <c r="K451" s="114">
        <f t="shared" si="141"/>
        <v>0</v>
      </c>
      <c r="L451" s="224">
        <f t="shared" si="144"/>
        <v>2509.056</v>
      </c>
      <c r="M451" s="114">
        <f>IFERROR(IF('Payroll 2020'!C451='Payroll 2020'!$A$3,IF('Income Statement 2020'!$L$22&gt;0,'Income Statement 2020'!$L$22*0.1*('Payroll 2020'!G451/SUMIF($C$443:$C$481,$A$3,$G$443:$G$481)),0),0),0)</f>
        <v>0</v>
      </c>
      <c r="N451" s="224">
        <f t="shared" si="145"/>
        <v>2509.056</v>
      </c>
    </row>
    <row r="452" spans="1:14" outlineLevel="1" x14ac:dyDescent="0.25">
      <c r="A452" s="104" t="s">
        <v>186</v>
      </c>
      <c r="B452" s="63">
        <v>10</v>
      </c>
      <c r="C452" s="105" t="s">
        <v>3</v>
      </c>
      <c r="D452" s="5" t="s">
        <v>486</v>
      </c>
      <c r="E452" s="311">
        <f t="shared" si="142"/>
        <v>23</v>
      </c>
      <c r="F452" s="45">
        <f t="shared" si="137"/>
        <v>176</v>
      </c>
      <c r="G452" s="303">
        <f t="shared" si="143"/>
        <v>4048</v>
      </c>
      <c r="H452" s="114">
        <f t="shared" si="138"/>
        <v>323.84000000000009</v>
      </c>
      <c r="I452" s="114">
        <f t="shared" si="139"/>
        <v>194.304</v>
      </c>
      <c r="J452" s="114">
        <f t="shared" si="140"/>
        <v>323.84000000000009</v>
      </c>
      <c r="K452" s="114">
        <f t="shared" si="141"/>
        <v>0</v>
      </c>
      <c r="L452" s="224">
        <f t="shared" si="144"/>
        <v>3206.0159999999996</v>
      </c>
      <c r="M452" s="114">
        <f>IFERROR(IF('Payroll 2020'!C452='Payroll 2020'!$A$3,IF('Income Statement 2020'!$L$22&gt;0,'Income Statement 2020'!$L$22*0.1*('Payroll 2020'!G452/SUMIF($C$443:$C$481,$A$3,$G$443:$G$481)),0),0),0)</f>
        <v>0</v>
      </c>
      <c r="N452" s="224">
        <f t="shared" si="145"/>
        <v>3206.0159999999996</v>
      </c>
    </row>
    <row r="453" spans="1:14" outlineLevel="1" x14ac:dyDescent="0.25">
      <c r="A453" s="104" t="s">
        <v>187</v>
      </c>
      <c r="B453" s="63">
        <v>11</v>
      </c>
      <c r="C453" s="105" t="s">
        <v>3</v>
      </c>
      <c r="D453" s="5" t="s">
        <v>486</v>
      </c>
      <c r="E453" s="311">
        <f t="shared" si="142"/>
        <v>40</v>
      </c>
      <c r="F453" s="45">
        <f t="shared" si="137"/>
        <v>176</v>
      </c>
      <c r="G453" s="224">
        <f t="shared" si="143"/>
        <v>7040</v>
      </c>
      <c r="H453" s="114">
        <f t="shared" si="138"/>
        <v>563.20000000000016</v>
      </c>
      <c r="I453" s="114">
        <f t="shared" si="139"/>
        <v>337.92</v>
      </c>
      <c r="J453" s="114">
        <f t="shared" si="140"/>
        <v>563.20000000000016</v>
      </c>
      <c r="K453" s="114">
        <f t="shared" si="141"/>
        <v>0</v>
      </c>
      <c r="L453" s="224">
        <f t="shared" si="144"/>
        <v>5575.68</v>
      </c>
      <c r="M453" s="114">
        <f>IFERROR(IF('Payroll 2020'!C453='Payroll 2020'!$A$3,IF('Income Statement 2020'!$L$22&gt;0,'Income Statement 2020'!$L$22*0.1*('Payroll 2020'!G453/SUMIF($C$443:$C$481,$A$3,$G$443:$G$481)),0),0),0)</f>
        <v>0</v>
      </c>
      <c r="N453" s="224">
        <f t="shared" si="145"/>
        <v>5575.68</v>
      </c>
    </row>
    <row r="454" spans="1:14" outlineLevel="1" x14ac:dyDescent="0.25">
      <c r="A454" s="104" t="s">
        <v>201</v>
      </c>
      <c r="B454" s="63">
        <v>12</v>
      </c>
      <c r="C454" s="105" t="s">
        <v>3</v>
      </c>
      <c r="D454" s="5" t="s">
        <v>486</v>
      </c>
      <c r="E454" s="311">
        <f t="shared" si="142"/>
        <v>40</v>
      </c>
      <c r="F454" s="45">
        <f t="shared" si="137"/>
        <v>176</v>
      </c>
      <c r="G454" s="224">
        <f t="shared" si="143"/>
        <v>7040</v>
      </c>
      <c r="H454" s="114">
        <f t="shared" si="138"/>
        <v>563.20000000000016</v>
      </c>
      <c r="I454" s="114">
        <f t="shared" si="139"/>
        <v>337.92</v>
      </c>
      <c r="J454" s="114">
        <f t="shared" si="140"/>
        <v>563.20000000000016</v>
      </c>
      <c r="K454" s="114">
        <f t="shared" si="141"/>
        <v>0</v>
      </c>
      <c r="L454" s="224">
        <f t="shared" si="144"/>
        <v>5575.68</v>
      </c>
      <c r="M454" s="114">
        <f>IFERROR(IF('Payroll 2020'!C454='Payroll 2020'!$A$3,IF('Income Statement 2020'!$L$22&gt;0,'Income Statement 2020'!$L$22*0.1*('Payroll 2020'!G454/SUMIF($C$443:$C$481,$A$3,$G$443:$G$481)),0),0),0)</f>
        <v>0</v>
      </c>
      <c r="N454" s="224">
        <f t="shared" si="145"/>
        <v>5575.68</v>
      </c>
    </row>
    <row r="455" spans="1:14" outlineLevel="1" x14ac:dyDescent="0.25">
      <c r="A455" s="104" t="s">
        <v>189</v>
      </c>
      <c r="B455" s="63">
        <v>13</v>
      </c>
      <c r="C455" s="105" t="s">
        <v>3</v>
      </c>
      <c r="D455" s="5" t="s">
        <v>486</v>
      </c>
      <c r="E455" s="311">
        <f t="shared" si="142"/>
        <v>30</v>
      </c>
      <c r="F455" s="45">
        <f t="shared" si="137"/>
        <v>176</v>
      </c>
      <c r="G455" s="224">
        <f t="shared" si="143"/>
        <v>5280</v>
      </c>
      <c r="H455" s="114">
        <f t="shared" si="138"/>
        <v>422.40000000000009</v>
      </c>
      <c r="I455" s="114">
        <f t="shared" si="139"/>
        <v>253.44</v>
      </c>
      <c r="J455" s="114">
        <f t="shared" si="140"/>
        <v>422.40000000000009</v>
      </c>
      <c r="K455" s="114">
        <f t="shared" si="141"/>
        <v>0</v>
      </c>
      <c r="L455" s="224">
        <f t="shared" si="144"/>
        <v>4181.76</v>
      </c>
      <c r="M455" s="114">
        <f>IFERROR(IF('Payroll 2020'!C455='Payroll 2020'!$A$3,IF('Income Statement 2020'!$L$22&gt;0,'Income Statement 2020'!$L$22*0.1*('Payroll 2020'!G455/SUMIF($C$443:$C$481,$A$3,$G$443:$G$481)),0),0),0)</f>
        <v>0</v>
      </c>
      <c r="N455" s="224">
        <f t="shared" si="145"/>
        <v>4181.76</v>
      </c>
    </row>
    <row r="456" spans="1:14" outlineLevel="1" x14ac:dyDescent="0.25">
      <c r="A456" s="104" t="s">
        <v>190</v>
      </c>
      <c r="B456" s="63">
        <v>14</v>
      </c>
      <c r="C456" s="105" t="s">
        <v>5</v>
      </c>
      <c r="D456" s="5" t="s">
        <v>487</v>
      </c>
      <c r="E456" s="311">
        <f t="shared" si="142"/>
        <v>7.5</v>
      </c>
      <c r="F456" s="45">
        <f t="shared" si="137"/>
        <v>176</v>
      </c>
      <c r="G456" s="224">
        <f t="shared" si="143"/>
        <v>1320</v>
      </c>
      <c r="H456" s="114"/>
      <c r="I456" s="114"/>
      <c r="J456" s="114"/>
      <c r="K456" s="114"/>
      <c r="L456" s="224">
        <f t="shared" si="144"/>
        <v>1320</v>
      </c>
      <c r="M456" s="114">
        <f>IFERROR(IF('Payroll 2020'!C456='Payroll 2020'!$A$3,IF('Income Statement 2020'!$L$22&gt;0,'Income Statement 2020'!$L$22*0.1*('Payroll 2020'!G456/SUMIF($C$443:$C$481,$A$3,$G$443:$G$481)),0),0),0)</f>
        <v>0</v>
      </c>
      <c r="N456" s="224">
        <f t="shared" si="145"/>
        <v>1320</v>
      </c>
    </row>
    <row r="457" spans="1:14" outlineLevel="1" x14ac:dyDescent="0.25">
      <c r="A457" s="104" t="s">
        <v>191</v>
      </c>
      <c r="B457" s="63">
        <v>15</v>
      </c>
      <c r="C457" s="105" t="s">
        <v>5</v>
      </c>
      <c r="D457" s="5" t="s">
        <v>486</v>
      </c>
      <c r="E457" s="311">
        <f t="shared" si="142"/>
        <v>10</v>
      </c>
      <c r="F457" s="45">
        <f t="shared" si="137"/>
        <v>176</v>
      </c>
      <c r="G457" s="224">
        <f t="shared" si="143"/>
        <v>1760</v>
      </c>
      <c r="H457" s="114"/>
      <c r="I457" s="114"/>
      <c r="J457" s="114"/>
      <c r="K457" s="114"/>
      <c r="L457" s="224">
        <f t="shared" si="144"/>
        <v>1760</v>
      </c>
      <c r="M457" s="114">
        <f>IFERROR(IF('Payroll 2020'!C457='Payroll 2020'!$A$3,IF('Income Statement 2020'!$L$22&gt;0,'Income Statement 2020'!$L$22*0.1*('Payroll 2020'!G457/SUMIF($C$443:$C$481,$A$3,$G$443:$G$481)),0),0),0)</f>
        <v>0</v>
      </c>
      <c r="N457" s="224">
        <f t="shared" si="145"/>
        <v>1760</v>
      </c>
    </row>
    <row r="458" spans="1:14" outlineLevel="1" x14ac:dyDescent="0.25">
      <c r="A458" s="104" t="s">
        <v>192</v>
      </c>
      <c r="B458" s="63">
        <v>16</v>
      </c>
      <c r="C458" s="105" t="s">
        <v>5</v>
      </c>
      <c r="D458" s="5" t="s">
        <v>486</v>
      </c>
      <c r="E458" s="311">
        <f t="shared" si="142"/>
        <v>7.5</v>
      </c>
      <c r="F458" s="45">
        <f t="shared" si="137"/>
        <v>176</v>
      </c>
      <c r="G458" s="224">
        <f t="shared" si="143"/>
        <v>1320</v>
      </c>
      <c r="H458" s="114"/>
      <c r="I458" s="114"/>
      <c r="J458" s="114"/>
      <c r="K458" s="114"/>
      <c r="L458" s="224">
        <f t="shared" si="144"/>
        <v>1320</v>
      </c>
      <c r="M458" s="114">
        <f>IFERROR(IF('Payroll 2020'!C458='Payroll 2020'!$A$3,IF('Income Statement 2020'!$L$22&gt;0,'Income Statement 2020'!$L$22*0.1*('Payroll 2020'!G458/SUMIF($C$443:$C$481,$A$3,$G$443:$G$481)),0),0),0)</f>
        <v>0</v>
      </c>
      <c r="N458" s="224">
        <f t="shared" si="145"/>
        <v>1320</v>
      </c>
    </row>
    <row r="459" spans="1:14" outlineLevel="1" x14ac:dyDescent="0.25">
      <c r="A459" s="104" t="s">
        <v>196</v>
      </c>
      <c r="B459" s="63">
        <v>17</v>
      </c>
      <c r="C459" s="105" t="s">
        <v>5</v>
      </c>
      <c r="D459" s="5" t="s">
        <v>486</v>
      </c>
      <c r="E459" s="311">
        <f t="shared" si="142"/>
        <v>7.5</v>
      </c>
      <c r="F459" s="45">
        <f t="shared" si="137"/>
        <v>176</v>
      </c>
      <c r="G459" s="224">
        <f t="shared" si="143"/>
        <v>1320</v>
      </c>
      <c r="H459" s="114"/>
      <c r="I459" s="114"/>
      <c r="J459" s="114"/>
      <c r="K459" s="114"/>
      <c r="L459" s="224">
        <f t="shared" si="144"/>
        <v>1320</v>
      </c>
      <c r="M459" s="114">
        <f>IFERROR(IF('Payroll 2020'!C459='Payroll 2020'!$A$3,IF('Income Statement 2020'!$L$22&gt;0,'Income Statement 2020'!$L$22*0.1*('Payroll 2020'!G459/SUMIF($C$443:$C$481,$A$3,$G$443:$G$481)),0),0),0)</f>
        <v>0</v>
      </c>
      <c r="N459" s="224">
        <f t="shared" si="145"/>
        <v>1320</v>
      </c>
    </row>
    <row r="460" spans="1:14" outlineLevel="1" x14ac:dyDescent="0.25">
      <c r="A460" s="104" t="s">
        <v>193</v>
      </c>
      <c r="B460" s="63">
        <v>18</v>
      </c>
      <c r="C460" s="105" t="s">
        <v>3</v>
      </c>
      <c r="D460" s="5" t="s">
        <v>486</v>
      </c>
      <c r="E460" s="311">
        <f t="shared" si="142"/>
        <v>22</v>
      </c>
      <c r="F460" s="45">
        <f t="shared" si="137"/>
        <v>176</v>
      </c>
      <c r="G460" s="224">
        <f t="shared" si="143"/>
        <v>3872</v>
      </c>
      <c r="H460" s="114">
        <f>IFERROR(G460*$H$37,0)</f>
        <v>309.76000000000005</v>
      </c>
      <c r="I460" s="114">
        <f>IFERROR(G460*$I$37,0)</f>
        <v>185.85599999999999</v>
      </c>
      <c r="J460" s="114">
        <f>IF(C460=$A$3,G460*$J$37,0)</f>
        <v>309.76000000000005</v>
      </c>
      <c r="K460" s="114">
        <f>IF(C460=$A$3,G460*$K$37,0)</f>
        <v>0</v>
      </c>
      <c r="L460" s="224">
        <f t="shared" si="144"/>
        <v>3066.6239999999998</v>
      </c>
      <c r="M460" s="114">
        <f>IFERROR(IF('Payroll 2020'!C460='Payroll 2020'!$A$3,IF('Income Statement 2020'!$L$22&gt;0,'Income Statement 2020'!$L$22*0.1*('Payroll 2020'!G460/SUMIF($C$443:$C$481,$A$3,$G$443:$G$481)),0),0),0)</f>
        <v>0</v>
      </c>
      <c r="N460" s="224">
        <f t="shared" si="145"/>
        <v>3066.6239999999998</v>
      </c>
    </row>
    <row r="461" spans="1:14" outlineLevel="1" x14ac:dyDescent="0.25">
      <c r="A461" s="104" t="s">
        <v>194</v>
      </c>
      <c r="B461" s="63">
        <v>19</v>
      </c>
      <c r="C461" s="105" t="s">
        <v>3</v>
      </c>
      <c r="D461" s="5" t="s">
        <v>486</v>
      </c>
      <c r="E461" s="311">
        <f t="shared" si="142"/>
        <v>25</v>
      </c>
      <c r="F461" s="45">
        <f t="shared" si="137"/>
        <v>176</v>
      </c>
      <c r="G461" s="224">
        <f t="shared" si="143"/>
        <v>4400</v>
      </c>
      <c r="H461" s="114">
        <f>IFERROR(G461*$H$37,0)</f>
        <v>352.00000000000006</v>
      </c>
      <c r="I461" s="114">
        <f>IFERROR(G461*$I$37,0)</f>
        <v>211.20000000000002</v>
      </c>
      <c r="J461" s="114">
        <f>IF(C461=$A$3,G461*$J$37,0)</f>
        <v>352.00000000000006</v>
      </c>
      <c r="K461" s="114">
        <f>IF(C461=$A$3,G461*$K$37,0)</f>
        <v>0</v>
      </c>
      <c r="L461" s="224">
        <f t="shared" si="144"/>
        <v>3484.8</v>
      </c>
      <c r="M461" s="114">
        <f>IFERROR(IF('Payroll 2020'!C461='Payroll 2020'!$A$3,IF('Income Statement 2020'!$L$22&gt;0,'Income Statement 2020'!$L$22*0.1*('Payroll 2020'!G461/SUMIF($C$443:$C$481,$A$3,$G$443:$G$481)),0),0),0)</f>
        <v>0</v>
      </c>
      <c r="N461" s="224">
        <f t="shared" si="145"/>
        <v>3484.8</v>
      </c>
    </row>
    <row r="462" spans="1:14" outlineLevel="1" x14ac:dyDescent="0.25">
      <c r="A462" s="104" t="s">
        <v>202</v>
      </c>
      <c r="B462" s="63">
        <v>20</v>
      </c>
      <c r="C462" s="105" t="s">
        <v>3</v>
      </c>
      <c r="D462" s="5" t="s">
        <v>486</v>
      </c>
      <c r="E462" s="311">
        <f t="shared" si="142"/>
        <v>20</v>
      </c>
      <c r="F462" s="45">
        <f t="shared" si="137"/>
        <v>176</v>
      </c>
      <c r="G462" s="224">
        <f t="shared" si="143"/>
        <v>3520</v>
      </c>
      <c r="H462" s="114">
        <f>IFERROR(G462*$H$37,0)</f>
        <v>281.60000000000008</v>
      </c>
      <c r="I462" s="114">
        <f>IFERROR(G462*$I$37,0)</f>
        <v>168.96</v>
      </c>
      <c r="J462" s="114">
        <f>IF(C462=$A$3,G462*$J$37,0)</f>
        <v>281.60000000000008</v>
      </c>
      <c r="K462" s="114">
        <f>IF(C462=$A$3,G462*$K$37,0)</f>
        <v>0</v>
      </c>
      <c r="L462" s="224">
        <f t="shared" si="144"/>
        <v>2787.84</v>
      </c>
      <c r="M462" s="114">
        <f>IFERROR(IF('Payroll 2020'!C462='Payroll 2020'!$A$3,IF('Income Statement 2020'!$L$22&gt;0,'Income Statement 2020'!$L$22*0.1*('Payroll 2020'!G462/SUMIF($C$443:$C$481,$A$3,$G$443:$G$481)),0),0),0)</f>
        <v>0</v>
      </c>
      <c r="N462" s="224">
        <f t="shared" si="145"/>
        <v>2787.84</v>
      </c>
    </row>
    <row r="463" spans="1:14" outlineLevel="1" x14ac:dyDescent="0.25">
      <c r="A463" s="104" t="s">
        <v>195</v>
      </c>
      <c r="B463" s="63">
        <v>21</v>
      </c>
      <c r="C463" s="105" t="s">
        <v>5</v>
      </c>
      <c r="D463" s="5" t="s">
        <v>487</v>
      </c>
      <c r="E463" s="311">
        <f t="shared" si="142"/>
        <v>7.5</v>
      </c>
      <c r="F463" s="45">
        <f t="shared" si="137"/>
        <v>176</v>
      </c>
      <c r="G463" s="224">
        <f t="shared" si="143"/>
        <v>1320</v>
      </c>
      <c r="H463" s="114"/>
      <c r="I463" s="114"/>
      <c r="J463" s="114"/>
      <c r="K463" s="114"/>
      <c r="L463" s="224">
        <f t="shared" si="144"/>
        <v>1320</v>
      </c>
      <c r="M463" s="114">
        <f>IFERROR(IF('Payroll 2020'!C463='Payroll 2020'!$A$3,IF('Income Statement 2020'!$L$22&gt;0,'Income Statement 2020'!$L$22*0.1*('Payroll 2020'!G463/SUMIF($C$443:$C$481,$A$3,$G$443:$G$481)),0),0),0)</f>
        <v>0</v>
      </c>
      <c r="N463" s="224">
        <f t="shared" si="145"/>
        <v>1320</v>
      </c>
    </row>
    <row r="464" spans="1:14" outlineLevel="1" x14ac:dyDescent="0.25">
      <c r="A464" s="104" t="s">
        <v>197</v>
      </c>
      <c r="B464" s="63">
        <v>22</v>
      </c>
      <c r="C464" s="105" t="s">
        <v>5</v>
      </c>
      <c r="D464" s="5" t="s">
        <v>486</v>
      </c>
      <c r="E464" s="311">
        <f t="shared" si="142"/>
        <v>10</v>
      </c>
      <c r="F464" s="45">
        <f t="shared" si="137"/>
        <v>176</v>
      </c>
      <c r="G464" s="224">
        <f t="shared" si="143"/>
        <v>1760</v>
      </c>
      <c r="H464" s="114"/>
      <c r="I464" s="114"/>
      <c r="J464" s="114"/>
      <c r="K464" s="114"/>
      <c r="L464" s="224">
        <f t="shared" si="144"/>
        <v>1760</v>
      </c>
      <c r="M464" s="114">
        <f>IFERROR(IF('Payroll 2020'!C464='Payroll 2020'!$A$3,IF('Income Statement 2020'!$L$22&gt;0,'Income Statement 2020'!$L$22*0.1*('Payroll 2020'!G464/SUMIF($C$443:$C$481,$A$3,$G$443:$G$481)),0),0),0)</f>
        <v>0</v>
      </c>
      <c r="N464" s="224">
        <f t="shared" si="145"/>
        <v>1760</v>
      </c>
    </row>
    <row r="465" spans="1:14" outlineLevel="1" x14ac:dyDescent="0.25">
      <c r="A465" s="104" t="s">
        <v>205</v>
      </c>
      <c r="B465" s="63">
        <v>23</v>
      </c>
      <c r="C465" s="105" t="s">
        <v>5</v>
      </c>
      <c r="D465" s="5" t="s">
        <v>486</v>
      </c>
      <c r="E465" s="311">
        <f t="shared" si="142"/>
        <v>7.5</v>
      </c>
      <c r="F465" s="45">
        <f t="shared" si="137"/>
        <v>176</v>
      </c>
      <c r="G465" s="224">
        <f t="shared" si="143"/>
        <v>1320</v>
      </c>
      <c r="H465" s="114"/>
      <c r="I465" s="114"/>
      <c r="J465" s="114"/>
      <c r="K465" s="114"/>
      <c r="L465" s="224">
        <f t="shared" si="144"/>
        <v>1320</v>
      </c>
      <c r="M465" s="114">
        <f>IFERROR(IF('Payroll 2020'!C465='Payroll 2020'!$A$3,IF('Income Statement 2020'!$L$22&gt;0,'Income Statement 2020'!$L$22*0.1*('Payroll 2020'!G465/SUMIF($C$443:$C$481,$A$3,$G$443:$G$481)),0),0),0)</f>
        <v>0</v>
      </c>
      <c r="N465" s="224">
        <f t="shared" si="145"/>
        <v>1320</v>
      </c>
    </row>
    <row r="466" spans="1:14" outlineLevel="1" x14ac:dyDescent="0.25">
      <c r="A466" s="104" t="s">
        <v>204</v>
      </c>
      <c r="B466" s="63">
        <v>24</v>
      </c>
      <c r="C466" s="105" t="s">
        <v>5</v>
      </c>
      <c r="D466" s="5" t="s">
        <v>486</v>
      </c>
      <c r="E466" s="311">
        <f t="shared" si="142"/>
        <v>7.5</v>
      </c>
      <c r="F466" s="45">
        <f t="shared" si="137"/>
        <v>176</v>
      </c>
      <c r="G466" s="224">
        <f t="shared" si="143"/>
        <v>1320</v>
      </c>
      <c r="H466" s="114"/>
      <c r="I466" s="114"/>
      <c r="J466" s="114"/>
      <c r="K466" s="114"/>
      <c r="L466" s="224">
        <f t="shared" si="144"/>
        <v>1320</v>
      </c>
      <c r="M466" s="114">
        <f>IFERROR(IF('Payroll 2020'!C466='Payroll 2020'!$A$3,IF('Income Statement 2020'!$L$22&gt;0,'Income Statement 2020'!$L$22*0.1*('Payroll 2020'!G466/SUMIF($C$443:$C$481,$A$3,$G$443:$G$481)),0),0),0)</f>
        <v>0</v>
      </c>
      <c r="N466" s="224">
        <f t="shared" si="145"/>
        <v>1320</v>
      </c>
    </row>
    <row r="467" spans="1:14" outlineLevel="1" x14ac:dyDescent="0.25">
      <c r="A467" s="104" t="s">
        <v>207</v>
      </c>
      <c r="B467" s="63">
        <v>25</v>
      </c>
      <c r="C467" s="105" t="s">
        <v>5</v>
      </c>
      <c r="D467" s="5" t="s">
        <v>486</v>
      </c>
      <c r="E467" s="311">
        <f t="shared" si="142"/>
        <v>7.5</v>
      </c>
      <c r="F467" s="45">
        <f t="shared" si="137"/>
        <v>176</v>
      </c>
      <c r="G467" s="224">
        <f t="shared" si="143"/>
        <v>1320</v>
      </c>
      <c r="H467" s="114"/>
      <c r="I467" s="114"/>
      <c r="J467" s="114"/>
      <c r="K467" s="114"/>
      <c r="L467" s="224">
        <f t="shared" si="144"/>
        <v>1320</v>
      </c>
      <c r="M467" s="114">
        <f>IFERROR(IF('Payroll 2020'!C467='Payroll 2020'!$A$3,IF('Income Statement 2020'!$L$22&gt;0,'Income Statement 2020'!$L$22*0.1*('Payroll 2020'!G467/SUMIF($C$443:$C$481,$A$3,$G$443:$G$481)),0),0),0)</f>
        <v>0</v>
      </c>
      <c r="N467" s="224">
        <f t="shared" si="145"/>
        <v>1320</v>
      </c>
    </row>
    <row r="468" spans="1:14" outlineLevel="1" x14ac:dyDescent="0.25">
      <c r="A468" s="104" t="s">
        <v>206</v>
      </c>
      <c r="B468" s="63">
        <v>26</v>
      </c>
      <c r="C468" s="105" t="s">
        <v>5</v>
      </c>
      <c r="D468" s="5" t="s">
        <v>486</v>
      </c>
      <c r="E468" s="311">
        <f t="shared" si="142"/>
        <v>7.5</v>
      </c>
      <c r="F468" s="45">
        <f t="shared" si="137"/>
        <v>176</v>
      </c>
      <c r="G468" s="224">
        <f t="shared" si="143"/>
        <v>1320</v>
      </c>
      <c r="H468" s="114"/>
      <c r="I468" s="114"/>
      <c r="J468" s="114"/>
      <c r="K468" s="114"/>
      <c r="L468" s="224">
        <f t="shared" si="144"/>
        <v>1320</v>
      </c>
      <c r="M468" s="114">
        <f>IFERROR(IF('Payroll 2020'!C468='Payroll 2020'!$A$3,IF('Income Statement 2020'!$L$22&gt;0,'Income Statement 2020'!$L$22*0.1*('Payroll 2020'!G468/SUMIF($C$443:$C$481,$A$3,$G$443:$G$481)),0),0),0)</f>
        <v>0</v>
      </c>
      <c r="N468" s="224">
        <f t="shared" si="145"/>
        <v>1320</v>
      </c>
    </row>
    <row r="469" spans="1:14" outlineLevel="1" x14ac:dyDescent="0.25">
      <c r="A469" s="18" t="s">
        <v>245</v>
      </c>
      <c r="B469" s="63">
        <v>27</v>
      </c>
      <c r="C469" s="5" t="s">
        <v>3</v>
      </c>
      <c r="D469" s="5" t="s">
        <v>485</v>
      </c>
      <c r="E469" s="311">
        <f t="shared" si="142"/>
        <v>30</v>
      </c>
      <c r="F469" s="45">
        <f t="shared" ref="F469:F481" si="146">IF(C469=$A$3,$C$3*NETWORKDAYS($C$440,$E$440),0)</f>
        <v>176</v>
      </c>
      <c r="G469" s="224">
        <f t="shared" si="143"/>
        <v>5280</v>
      </c>
      <c r="H469" s="114">
        <f t="shared" ref="H469:H481" si="147">IFERROR(G469*$H$37,0)</f>
        <v>422.40000000000009</v>
      </c>
      <c r="I469" s="114">
        <f t="shared" ref="I469:I481" si="148">IFERROR(G469*$I$37,0)</f>
        <v>253.44</v>
      </c>
      <c r="J469" s="114">
        <f t="shared" ref="J469:J481" si="149">IF(C469=$A$3,G469*$J$37,0)</f>
        <v>422.40000000000009</v>
      </c>
      <c r="K469" s="114">
        <f t="shared" ref="K469:K481" si="150">IF(C469=$A$3,G469*$K$37,0)</f>
        <v>0</v>
      </c>
      <c r="L469" s="224">
        <f t="shared" si="144"/>
        <v>4181.76</v>
      </c>
      <c r="M469" s="114">
        <f>IFERROR(IF('Payroll 2020'!C469='Payroll 2020'!$A$3,IF('Income Statement 2020'!$L$22&gt;0,'Income Statement 2020'!$L$22*0.1*('Payroll 2020'!G469/SUMIF($C$443:$C$481,$A$3,$G$443:$G$481)),0),0),0)</f>
        <v>0</v>
      </c>
      <c r="N469" s="224">
        <f t="shared" si="145"/>
        <v>4181.76</v>
      </c>
    </row>
    <row r="470" spans="1:14" outlineLevel="1" x14ac:dyDescent="0.25">
      <c r="A470" s="18" t="s">
        <v>230</v>
      </c>
      <c r="B470" s="63">
        <v>28</v>
      </c>
      <c r="C470" s="5" t="s">
        <v>3</v>
      </c>
      <c r="D470" s="5" t="s">
        <v>485</v>
      </c>
      <c r="E470" s="311">
        <f t="shared" si="142"/>
        <v>23</v>
      </c>
      <c r="F470" s="45">
        <f t="shared" si="146"/>
        <v>176</v>
      </c>
      <c r="G470" s="224">
        <f t="shared" si="143"/>
        <v>4048</v>
      </c>
      <c r="H470" s="114">
        <f t="shared" si="147"/>
        <v>323.84000000000009</v>
      </c>
      <c r="I470" s="114">
        <f t="shared" si="148"/>
        <v>194.304</v>
      </c>
      <c r="J470" s="114">
        <f t="shared" si="149"/>
        <v>323.84000000000009</v>
      </c>
      <c r="K470" s="114">
        <f t="shared" si="150"/>
        <v>0</v>
      </c>
      <c r="L470" s="224">
        <f t="shared" si="144"/>
        <v>3206.0159999999996</v>
      </c>
      <c r="M470" s="114">
        <f>IFERROR(IF('Payroll 2020'!C470='Payroll 2020'!$A$3,IF('Income Statement 2020'!$L$22&gt;0,'Income Statement 2020'!$L$22*0.1*('Payroll 2020'!G470/SUMIF($C$443:$C$481,$A$3,$G$443:$G$481)),0),0),0)</f>
        <v>0</v>
      </c>
      <c r="N470" s="224">
        <f t="shared" si="145"/>
        <v>3206.0159999999996</v>
      </c>
    </row>
    <row r="471" spans="1:14" outlineLevel="1" x14ac:dyDescent="0.25">
      <c r="A471" s="18" t="s">
        <v>231</v>
      </c>
      <c r="B471" s="63">
        <v>29</v>
      </c>
      <c r="C471" s="5" t="s">
        <v>3</v>
      </c>
      <c r="D471" s="5" t="s">
        <v>485</v>
      </c>
      <c r="E471" s="311">
        <f t="shared" si="142"/>
        <v>17</v>
      </c>
      <c r="F471" s="45">
        <f t="shared" si="146"/>
        <v>176</v>
      </c>
      <c r="G471" s="224">
        <f t="shared" si="143"/>
        <v>2992</v>
      </c>
      <c r="H471" s="114">
        <f t="shared" si="147"/>
        <v>239.36000000000004</v>
      </c>
      <c r="I471" s="114">
        <f t="shared" si="148"/>
        <v>143.61600000000001</v>
      </c>
      <c r="J471" s="114">
        <f t="shared" si="149"/>
        <v>239.36000000000004</v>
      </c>
      <c r="K471" s="114">
        <f t="shared" si="150"/>
        <v>0</v>
      </c>
      <c r="L471" s="224">
        <f t="shared" si="144"/>
        <v>2369.6639999999998</v>
      </c>
      <c r="M471" s="114">
        <f>IFERROR(IF('Payroll 2020'!C471='Payroll 2020'!$A$3,IF('Income Statement 2020'!$L$22&gt;0,'Income Statement 2020'!$L$22*0.1*('Payroll 2020'!G471/SUMIF($C$443:$C$481,$A$3,$G$443:$G$481)),0),0),0)</f>
        <v>0</v>
      </c>
      <c r="N471" s="224">
        <f t="shared" si="145"/>
        <v>2369.6639999999998</v>
      </c>
    </row>
    <row r="472" spans="1:14" outlineLevel="1" x14ac:dyDescent="0.25">
      <c r="A472" s="18" t="s">
        <v>231</v>
      </c>
      <c r="B472" s="63">
        <v>30</v>
      </c>
      <c r="C472" s="5" t="s">
        <v>3</v>
      </c>
      <c r="D472" s="5" t="s">
        <v>485</v>
      </c>
      <c r="E472" s="311">
        <f t="shared" si="142"/>
        <v>17</v>
      </c>
      <c r="F472" s="45">
        <f t="shared" si="146"/>
        <v>176</v>
      </c>
      <c r="G472" s="224">
        <f t="shared" si="143"/>
        <v>2992</v>
      </c>
      <c r="H472" s="114">
        <f t="shared" si="147"/>
        <v>239.36000000000004</v>
      </c>
      <c r="I472" s="114">
        <f t="shared" si="148"/>
        <v>143.61600000000001</v>
      </c>
      <c r="J472" s="114">
        <f t="shared" si="149"/>
        <v>239.36000000000004</v>
      </c>
      <c r="K472" s="114">
        <f t="shared" si="150"/>
        <v>0</v>
      </c>
      <c r="L472" s="224">
        <f t="shared" si="144"/>
        <v>2369.6639999999998</v>
      </c>
      <c r="M472" s="114">
        <f>IFERROR(IF('Payroll 2020'!C472='Payroll 2020'!$A$3,IF('Income Statement 2020'!$L$22&gt;0,'Income Statement 2020'!$L$22*0.1*('Payroll 2020'!G472/SUMIF($C$443:$C$481,$A$3,$G$443:$G$481)),0),0),0)</f>
        <v>0</v>
      </c>
      <c r="N472" s="224">
        <f t="shared" si="145"/>
        <v>2369.6639999999998</v>
      </c>
    </row>
    <row r="473" spans="1:14" outlineLevel="1" x14ac:dyDescent="0.25">
      <c r="A473" s="18" t="s">
        <v>230</v>
      </c>
      <c r="B473" s="63">
        <v>31</v>
      </c>
      <c r="C473" s="5" t="s">
        <v>3</v>
      </c>
      <c r="D473" s="5" t="s">
        <v>485</v>
      </c>
      <c r="E473" s="311">
        <f t="shared" si="142"/>
        <v>23</v>
      </c>
      <c r="F473" s="45">
        <f t="shared" si="146"/>
        <v>176</v>
      </c>
      <c r="G473" s="224">
        <f t="shared" si="143"/>
        <v>4048</v>
      </c>
      <c r="H473" s="114">
        <f t="shared" si="147"/>
        <v>323.84000000000009</v>
      </c>
      <c r="I473" s="114">
        <f t="shared" si="148"/>
        <v>194.304</v>
      </c>
      <c r="J473" s="114">
        <f t="shared" si="149"/>
        <v>323.84000000000009</v>
      </c>
      <c r="K473" s="114">
        <f t="shared" si="150"/>
        <v>0</v>
      </c>
      <c r="L473" s="224">
        <f t="shared" si="144"/>
        <v>3206.0159999999996</v>
      </c>
      <c r="M473" s="114">
        <f>IFERROR(IF('Payroll 2020'!C473='Payroll 2020'!$A$3,IF('Income Statement 2020'!$L$22&gt;0,'Income Statement 2020'!$L$22*0.1*('Payroll 2020'!G473/SUMIF($C$443:$C$481,$A$3,$G$443:$G$481)),0),0),0)</f>
        <v>0</v>
      </c>
      <c r="N473" s="224">
        <f t="shared" si="145"/>
        <v>3206.0159999999996</v>
      </c>
    </row>
    <row r="474" spans="1:14" outlineLevel="1" x14ac:dyDescent="0.25">
      <c r="A474" s="18" t="s">
        <v>231</v>
      </c>
      <c r="B474" s="63">
        <v>32</v>
      </c>
      <c r="C474" s="5" t="s">
        <v>3</v>
      </c>
      <c r="D474" s="5" t="s">
        <v>485</v>
      </c>
      <c r="E474" s="311">
        <f t="shared" si="142"/>
        <v>17</v>
      </c>
      <c r="F474" s="45">
        <f t="shared" si="146"/>
        <v>176</v>
      </c>
      <c r="G474" s="224">
        <f t="shared" si="143"/>
        <v>2992</v>
      </c>
      <c r="H474" s="114">
        <f t="shared" si="147"/>
        <v>239.36000000000004</v>
      </c>
      <c r="I474" s="114">
        <f t="shared" si="148"/>
        <v>143.61600000000001</v>
      </c>
      <c r="J474" s="114">
        <f t="shared" si="149"/>
        <v>239.36000000000004</v>
      </c>
      <c r="K474" s="114">
        <f t="shared" si="150"/>
        <v>0</v>
      </c>
      <c r="L474" s="224">
        <f t="shared" si="144"/>
        <v>2369.6639999999998</v>
      </c>
      <c r="M474" s="114">
        <f>IFERROR(IF('Payroll 2020'!C474='Payroll 2020'!$A$3,IF('Income Statement 2020'!$L$22&gt;0,'Income Statement 2020'!$L$22*0.1*('Payroll 2020'!G474/SUMIF($C$443:$C$481,$A$3,$G$443:$G$481)),0),0),0)</f>
        <v>0</v>
      </c>
      <c r="N474" s="224">
        <f t="shared" si="145"/>
        <v>2369.6639999999998</v>
      </c>
    </row>
    <row r="475" spans="1:14" outlineLevel="1" x14ac:dyDescent="0.25">
      <c r="A475" s="18" t="s">
        <v>231</v>
      </c>
      <c r="B475" s="63">
        <v>33</v>
      </c>
      <c r="C475" s="5" t="s">
        <v>3</v>
      </c>
      <c r="D475" s="5" t="s">
        <v>485</v>
      </c>
      <c r="E475" s="311">
        <f t="shared" si="142"/>
        <v>17</v>
      </c>
      <c r="F475" s="45">
        <f t="shared" si="146"/>
        <v>176</v>
      </c>
      <c r="G475" s="224">
        <f t="shared" si="143"/>
        <v>2992</v>
      </c>
      <c r="H475" s="114">
        <f t="shared" si="147"/>
        <v>239.36000000000004</v>
      </c>
      <c r="I475" s="114">
        <f t="shared" si="148"/>
        <v>143.61600000000001</v>
      </c>
      <c r="J475" s="114">
        <f t="shared" si="149"/>
        <v>239.36000000000004</v>
      </c>
      <c r="K475" s="114">
        <f t="shared" si="150"/>
        <v>0</v>
      </c>
      <c r="L475" s="224">
        <f t="shared" si="144"/>
        <v>2369.6639999999998</v>
      </c>
      <c r="M475" s="114">
        <f>IFERROR(IF('Payroll 2020'!C475='Payroll 2020'!$A$3,IF('Income Statement 2020'!$L$22&gt;0,'Income Statement 2020'!$L$22*0.1*('Payroll 2020'!G475/SUMIF($C$443:$C$481,$A$3,$G$443:$G$481)),0),0),0)</f>
        <v>0</v>
      </c>
      <c r="N475" s="224">
        <f t="shared" si="145"/>
        <v>2369.6639999999998</v>
      </c>
    </row>
    <row r="476" spans="1:14" outlineLevel="1" x14ac:dyDescent="0.25">
      <c r="A476" s="18" t="s">
        <v>231</v>
      </c>
      <c r="B476" s="63">
        <v>34</v>
      </c>
      <c r="C476" s="5" t="s">
        <v>3</v>
      </c>
      <c r="D476" s="5" t="s">
        <v>485</v>
      </c>
      <c r="E476" s="124">
        <f>E475</f>
        <v>17</v>
      </c>
      <c r="F476" s="45">
        <f t="shared" si="146"/>
        <v>176</v>
      </c>
      <c r="G476" s="224">
        <f t="shared" si="143"/>
        <v>2992</v>
      </c>
      <c r="H476" s="114">
        <f t="shared" si="147"/>
        <v>239.36000000000004</v>
      </c>
      <c r="I476" s="114">
        <f t="shared" si="148"/>
        <v>143.61600000000001</v>
      </c>
      <c r="J476" s="114">
        <f t="shared" si="149"/>
        <v>239.36000000000004</v>
      </c>
      <c r="K476" s="114">
        <f t="shared" si="150"/>
        <v>0</v>
      </c>
      <c r="L476" s="224">
        <f t="shared" si="144"/>
        <v>2369.6639999999998</v>
      </c>
      <c r="M476" s="114">
        <f>IFERROR(IF('Payroll 2020'!C476='Payroll 2020'!$A$3,IF('Income Statement 2020'!$L$22&gt;0,'Income Statement 2020'!$L$22*0.1*('Payroll 2020'!G476/SUMIF($C$443:$C$481,$A$3,$G$443:$G$481)),0),0),0)</f>
        <v>0</v>
      </c>
      <c r="N476" s="224">
        <f t="shared" si="145"/>
        <v>2369.6639999999998</v>
      </c>
    </row>
    <row r="477" spans="1:14" outlineLevel="1" x14ac:dyDescent="0.25">
      <c r="A477" s="18"/>
      <c r="B477" s="63">
        <v>35</v>
      </c>
      <c r="E477" s="124"/>
      <c r="F477" s="45">
        <f t="shared" si="146"/>
        <v>0</v>
      </c>
      <c r="G477" s="224">
        <f t="shared" si="143"/>
        <v>0</v>
      </c>
      <c r="H477" s="114">
        <f t="shared" si="147"/>
        <v>0</v>
      </c>
      <c r="I477" s="114">
        <f t="shared" si="148"/>
        <v>0</v>
      </c>
      <c r="J477" s="114">
        <f t="shared" si="149"/>
        <v>0</v>
      </c>
      <c r="K477" s="114">
        <f t="shared" si="150"/>
        <v>0</v>
      </c>
      <c r="L477" s="224">
        <f t="shared" si="144"/>
        <v>0</v>
      </c>
      <c r="M477" s="114">
        <f>IFERROR(IF('Payroll 2020'!C477='Payroll 2020'!$A$3,IF('Income Statement 2020'!$L$22&gt;0,'Income Statement 2020'!$L$22*0.1*('Payroll 2020'!G477/SUMIF($C$443:$C$481,$A$3,$G$443:$G$481)),0),0),0)</f>
        <v>0</v>
      </c>
      <c r="N477" s="224">
        <f t="shared" si="145"/>
        <v>0</v>
      </c>
    </row>
    <row r="478" spans="1:14" outlineLevel="1" x14ac:dyDescent="0.25">
      <c r="A478" s="18"/>
      <c r="B478" s="63">
        <v>36</v>
      </c>
      <c r="E478" s="124"/>
      <c r="F478" s="45">
        <f t="shared" si="146"/>
        <v>0</v>
      </c>
      <c r="G478" s="224">
        <f t="shared" si="143"/>
        <v>0</v>
      </c>
      <c r="H478" s="114">
        <f t="shared" si="147"/>
        <v>0</v>
      </c>
      <c r="I478" s="114">
        <f t="shared" si="148"/>
        <v>0</v>
      </c>
      <c r="J478" s="114">
        <f t="shared" si="149"/>
        <v>0</v>
      </c>
      <c r="K478" s="114">
        <f t="shared" si="150"/>
        <v>0</v>
      </c>
      <c r="L478" s="224">
        <f t="shared" si="144"/>
        <v>0</v>
      </c>
      <c r="M478" s="114">
        <f>IFERROR(IF('Payroll 2020'!C478='Payroll 2020'!$A$3,IF('Income Statement 2020'!$L$22&gt;0,'Income Statement 2020'!$L$22*0.1*('Payroll 2020'!G478/SUMIF($C$443:$C$481,$A$3,$G$443:$G$481)),0),0),0)</f>
        <v>0</v>
      </c>
      <c r="N478" s="224">
        <f t="shared" si="145"/>
        <v>0</v>
      </c>
    </row>
    <row r="479" spans="1:14" outlineLevel="1" x14ac:dyDescent="0.25">
      <c r="A479" s="18" t="s">
        <v>569</v>
      </c>
      <c r="B479" s="63">
        <v>37</v>
      </c>
      <c r="D479" s="5" t="s">
        <v>488</v>
      </c>
      <c r="E479" s="124">
        <f>E434</f>
        <v>20</v>
      </c>
      <c r="F479" s="45">
        <f t="shared" ref="F479:F480" si="151">IF(C479=$A$3,$C$3*NETWORKDAYS($C$530,$E$530),0)</f>
        <v>0</v>
      </c>
      <c r="G479" s="224">
        <f t="shared" si="143"/>
        <v>0</v>
      </c>
      <c r="H479" s="114">
        <f t="shared" si="147"/>
        <v>0</v>
      </c>
      <c r="I479" s="114">
        <f t="shared" si="148"/>
        <v>0</v>
      </c>
      <c r="J479" s="114">
        <f t="shared" si="149"/>
        <v>0</v>
      </c>
      <c r="K479" s="114">
        <f t="shared" si="150"/>
        <v>0</v>
      </c>
      <c r="L479" s="224">
        <f t="shared" si="144"/>
        <v>0</v>
      </c>
      <c r="M479" s="114">
        <f>IFERROR(IF('Payroll 2020'!C479='Payroll 2020'!$A$3,IF('Income Statement 2020'!$N$22&gt;0,'Income Statement 2020'!$N$22*0.1*('Payroll 2020'!G479/SUMIF($C$533:$C$571,$A$3,$G$533:$G$571)),0),0),0)</f>
        <v>0</v>
      </c>
      <c r="N479" s="224">
        <f t="shared" si="145"/>
        <v>0</v>
      </c>
    </row>
    <row r="480" spans="1:14" outlineLevel="1" x14ac:dyDescent="0.25">
      <c r="A480" s="18" t="s">
        <v>570</v>
      </c>
      <c r="B480" s="63">
        <v>38</v>
      </c>
      <c r="D480" s="5" t="s">
        <v>488</v>
      </c>
      <c r="E480" s="124">
        <v>15</v>
      </c>
      <c r="F480" s="45">
        <f t="shared" si="151"/>
        <v>0</v>
      </c>
      <c r="G480" s="224">
        <f t="shared" si="143"/>
        <v>0</v>
      </c>
      <c r="H480" s="114">
        <f t="shared" si="147"/>
        <v>0</v>
      </c>
      <c r="I480" s="114">
        <f t="shared" si="148"/>
        <v>0</v>
      </c>
      <c r="J480" s="114">
        <f t="shared" si="149"/>
        <v>0</v>
      </c>
      <c r="K480" s="114">
        <f t="shared" si="150"/>
        <v>0</v>
      </c>
      <c r="L480" s="224">
        <f t="shared" si="144"/>
        <v>0</v>
      </c>
      <c r="M480" s="114">
        <f>IFERROR(IF('Payroll 2020'!C480='Payroll 2020'!$A$3,IF('Income Statement 2020'!$N$22&gt;0,'Income Statement 2020'!$N$22*0.1*('Payroll 2020'!G480/SUMIF($C$533:$C$571,$A$3,$G$533:$G$571)),0),0),0)</f>
        <v>0</v>
      </c>
      <c r="N480" s="224">
        <f t="shared" si="145"/>
        <v>0</v>
      </c>
    </row>
    <row r="481" spans="1:14" ht="17" outlineLevel="1" thickBot="1" x14ac:dyDescent="0.3">
      <c r="A481" s="19"/>
      <c r="B481" s="126">
        <v>39</v>
      </c>
      <c r="C481" s="16"/>
      <c r="D481" s="16"/>
      <c r="E481" s="310"/>
      <c r="F481" s="46">
        <f t="shared" si="146"/>
        <v>0</v>
      </c>
      <c r="G481" s="306">
        <f t="shared" si="143"/>
        <v>0</v>
      </c>
      <c r="H481" s="305">
        <f t="shared" si="147"/>
        <v>0</v>
      </c>
      <c r="I481" s="305">
        <f t="shared" si="148"/>
        <v>0</v>
      </c>
      <c r="J481" s="305">
        <f t="shared" si="149"/>
        <v>0</v>
      </c>
      <c r="K481" s="305">
        <f t="shared" si="150"/>
        <v>0</v>
      </c>
      <c r="L481" s="306">
        <f t="shared" si="144"/>
        <v>0</v>
      </c>
      <c r="M481" s="305">
        <f>IFERROR(IF('Payroll 2020'!C481='Payroll 2020'!$A$3,IF('Income Statement 2020'!$L$22&gt;0,'Income Statement 2020'!$L$22*0.1*('Payroll 2020'!G481/SUMIF($C$443:$C$481,$A$3,$G$443:$G$481)),0),0),0)</f>
        <v>0</v>
      </c>
      <c r="N481" s="306">
        <f t="shared" si="145"/>
        <v>0</v>
      </c>
    </row>
    <row r="482" spans="1:14" outlineLevel="1" x14ac:dyDescent="0.25">
      <c r="A482" s="2" t="s">
        <v>19</v>
      </c>
      <c r="B482" s="2"/>
      <c r="C482" s="2"/>
      <c r="D482" s="2"/>
      <c r="E482" s="313">
        <f>AVERAGE(E443:E481)</f>
        <v>21.138888888888889</v>
      </c>
      <c r="F482" s="39">
        <f>IFERROR(SUM(F443:F481),"")</f>
        <v>5984</v>
      </c>
      <c r="G482" s="224">
        <f t="shared" ref="G482:N482" si="152">IFERROR(SUM(G443:G481),"")</f>
        <v>127776</v>
      </c>
      <c r="H482" s="224">
        <f t="shared" si="152"/>
        <v>9095.6800000000021</v>
      </c>
      <c r="I482" s="224">
        <f t="shared" si="152"/>
        <v>5457.4080000000004</v>
      </c>
      <c r="J482" s="224">
        <f t="shared" si="152"/>
        <v>9095.6800000000021</v>
      </c>
      <c r="K482" s="224">
        <f t="shared" si="152"/>
        <v>0</v>
      </c>
      <c r="L482" s="224">
        <f t="shared" si="152"/>
        <v>104127.23200000003</v>
      </c>
      <c r="M482" s="224">
        <f t="shared" si="152"/>
        <v>0</v>
      </c>
      <c r="N482" s="224">
        <f t="shared" si="152"/>
        <v>104127.23200000003</v>
      </c>
    </row>
    <row r="483" spans="1:14" outlineLevel="1" x14ac:dyDescent="0.25"/>
    <row r="485" spans="1:14" x14ac:dyDescent="0.25">
      <c r="A485" s="2" t="s">
        <v>30</v>
      </c>
      <c r="B485" s="1" t="s">
        <v>17</v>
      </c>
      <c r="C485" s="20">
        <v>44136</v>
      </c>
      <c r="D485" s="1" t="s">
        <v>18</v>
      </c>
      <c r="E485" s="20">
        <v>44165</v>
      </c>
      <c r="F485" s="1" t="s">
        <v>42</v>
      </c>
      <c r="G485" s="1">
        <f>NETWORKDAYS(C485,E485)</f>
        <v>21</v>
      </c>
    </row>
    <row r="486" spans="1:14" ht="68" outlineLevel="1" x14ac:dyDescent="0.25">
      <c r="A486" s="11" t="s">
        <v>2</v>
      </c>
      <c r="B486" s="10" t="s">
        <v>12</v>
      </c>
      <c r="C486" s="10" t="s">
        <v>1</v>
      </c>
      <c r="D486" s="10" t="s">
        <v>483</v>
      </c>
      <c r="E486" s="10" t="s">
        <v>13</v>
      </c>
      <c r="F486" s="10" t="s">
        <v>15</v>
      </c>
      <c r="G486" s="10" t="str">
        <f>G441</f>
        <v>Monthly Wage including all charges</v>
      </c>
      <c r="H486" s="10" t="str">
        <f t="shared" ref="H486:J486" si="153">H441</f>
        <v>URSSAF</v>
      </c>
      <c r="I486" s="10" t="str">
        <f t="shared" si="153"/>
        <v>Impot à la source</v>
      </c>
      <c r="J486" s="10" t="str">
        <f t="shared" si="153"/>
        <v>Employee Pension</v>
      </c>
      <c r="K486" s="10"/>
      <c r="L486" s="10" t="s">
        <v>14</v>
      </c>
      <c r="M486" s="10" t="s">
        <v>11</v>
      </c>
      <c r="N486" s="10" t="s">
        <v>20</v>
      </c>
    </row>
    <row r="487" spans="1:14" ht="17" outlineLevel="1" thickBot="1" x14ac:dyDescent="0.3">
      <c r="A487" s="12"/>
      <c r="B487" s="13"/>
      <c r="C487" s="13"/>
      <c r="D487" s="13"/>
      <c r="E487" s="13"/>
      <c r="F487" s="13"/>
      <c r="G487" s="316">
        <f>H487+I487+J487</f>
        <v>0.20800000000000002</v>
      </c>
      <c r="H487" s="315">
        <f>H442</f>
        <v>8.0000000000000016E-2</v>
      </c>
      <c r="I487" s="315">
        <f t="shared" ref="I487:J487" si="154">I442</f>
        <v>4.8000000000000001E-2</v>
      </c>
      <c r="J487" s="315">
        <f t="shared" si="154"/>
        <v>8.0000000000000016E-2</v>
      </c>
      <c r="K487" s="14"/>
      <c r="L487" s="15"/>
      <c r="M487" s="14">
        <f>'Payroll 2020-2024'!$L$12</f>
        <v>0.1</v>
      </c>
      <c r="N487" s="15"/>
    </row>
    <row r="488" spans="1:14" outlineLevel="1" x14ac:dyDescent="0.25">
      <c r="A488" s="104" t="s">
        <v>178</v>
      </c>
      <c r="B488" s="63">
        <v>1</v>
      </c>
      <c r="C488" s="105" t="s">
        <v>3</v>
      </c>
      <c r="D488" s="5" t="s">
        <v>484</v>
      </c>
      <c r="E488" s="311">
        <f>E443</f>
        <v>48</v>
      </c>
      <c r="F488" s="45">
        <f t="shared" ref="F488:F513" si="155">NETWORKDAYS($C$485,$E$485)*$C$3</f>
        <v>168</v>
      </c>
      <c r="G488" s="303">
        <f>IFERROR(E488*F488,0)</f>
        <v>8064</v>
      </c>
      <c r="H488" s="114">
        <f t="shared" ref="H488:H500" si="156">IFERROR(G488*$H$37,0)</f>
        <v>645.12000000000012</v>
      </c>
      <c r="I488" s="114">
        <f t="shared" ref="I488:I500" si="157">IFERROR(G488*$I$37,0)</f>
        <v>387.072</v>
      </c>
      <c r="J488" s="114">
        <f t="shared" ref="J488:J500" si="158">IF(C488=$A$3,G488*$J$37,0)</f>
        <v>645.12000000000012</v>
      </c>
      <c r="K488" s="114">
        <f t="shared" ref="K488:K500" si="159">IF(C488=$A$3,G488*$K$37,0)</f>
        <v>0</v>
      </c>
      <c r="L488" s="224">
        <f>IFERROR(G488-SUM(H488:K488),0)</f>
        <v>6386.6880000000001</v>
      </c>
      <c r="M488" s="114">
        <f>IFERROR(IF('Payroll 2020'!C488='Payroll 2020'!$A$3,IF('Income Statement 2020'!$M$22&gt;0,'Income Statement 2020'!$M$22*0.1*('Payroll 2020'!G488/SUMIF($C$488:$C$526,$A$3,$G$488:$G$526)),0),0),0)</f>
        <v>0</v>
      </c>
      <c r="N488" s="224">
        <f>IFERROR(L488+M488,0)</f>
        <v>6386.6880000000001</v>
      </c>
    </row>
    <row r="489" spans="1:14" outlineLevel="1" x14ac:dyDescent="0.25">
      <c r="A489" s="104" t="s">
        <v>179</v>
      </c>
      <c r="B489" s="63">
        <v>2</v>
      </c>
      <c r="C489" s="105" t="s">
        <v>3</v>
      </c>
      <c r="D489" s="5" t="s">
        <v>484</v>
      </c>
      <c r="E489" s="311">
        <f t="shared" ref="E489:E521" si="160">E444</f>
        <v>45</v>
      </c>
      <c r="F489" s="45">
        <f t="shared" si="155"/>
        <v>168</v>
      </c>
      <c r="G489" s="303">
        <f t="shared" ref="G489:G526" si="161">IFERROR(E489*F489,0)</f>
        <v>7560</v>
      </c>
      <c r="H489" s="114">
        <f t="shared" si="156"/>
        <v>604.80000000000007</v>
      </c>
      <c r="I489" s="114">
        <f t="shared" si="157"/>
        <v>362.88</v>
      </c>
      <c r="J489" s="114">
        <f t="shared" si="158"/>
        <v>604.80000000000007</v>
      </c>
      <c r="K489" s="114">
        <f t="shared" si="159"/>
        <v>0</v>
      </c>
      <c r="L489" s="224">
        <f t="shared" ref="L489:L526" si="162">IFERROR(G489-SUM(H489:K489),0)</f>
        <v>5987.52</v>
      </c>
      <c r="M489" s="114">
        <f>IFERROR(IF('Payroll 2020'!C489='Payroll 2020'!$A$3,IF('Income Statement 2020'!$M$22&gt;0,'Income Statement 2020'!$M$22*0.1*('Payroll 2020'!G489/SUMIF($C$488:$C$526,$A$3,$G$488:$G$526)),0),0),0)</f>
        <v>0</v>
      </c>
      <c r="N489" s="224">
        <f t="shared" ref="N489:N526" si="163">IFERROR(L489+M489,0)</f>
        <v>5987.52</v>
      </c>
    </row>
    <row r="490" spans="1:14" outlineLevel="1" x14ac:dyDescent="0.25">
      <c r="A490" s="104" t="s">
        <v>180</v>
      </c>
      <c r="B490" s="63">
        <v>3</v>
      </c>
      <c r="C490" s="105" t="s">
        <v>3</v>
      </c>
      <c r="D490" s="5" t="s">
        <v>484</v>
      </c>
      <c r="E490" s="311">
        <f t="shared" si="160"/>
        <v>37</v>
      </c>
      <c r="F490" s="45">
        <f t="shared" si="155"/>
        <v>168</v>
      </c>
      <c r="G490" s="303">
        <f t="shared" si="161"/>
        <v>6216</v>
      </c>
      <c r="H490" s="114">
        <f t="shared" si="156"/>
        <v>497.28000000000009</v>
      </c>
      <c r="I490" s="114">
        <f t="shared" si="157"/>
        <v>298.36799999999999</v>
      </c>
      <c r="J490" s="114">
        <f t="shared" si="158"/>
        <v>497.28000000000009</v>
      </c>
      <c r="K490" s="114">
        <f t="shared" si="159"/>
        <v>0</v>
      </c>
      <c r="L490" s="224">
        <f t="shared" si="162"/>
        <v>4923.0720000000001</v>
      </c>
      <c r="M490" s="114">
        <f>IFERROR(IF('Payroll 2020'!C490='Payroll 2020'!$A$3,IF('Income Statement 2020'!$M$22&gt;0,'Income Statement 2020'!$M$22*0.1*('Payroll 2020'!G490/SUMIF($C$488:$C$526,$A$3,$G$488:$G$526)),0),0),0)</f>
        <v>0</v>
      </c>
      <c r="N490" s="224">
        <f t="shared" si="163"/>
        <v>4923.0720000000001</v>
      </c>
    </row>
    <row r="491" spans="1:14" outlineLevel="1" x14ac:dyDescent="0.25">
      <c r="A491" s="104" t="s">
        <v>181</v>
      </c>
      <c r="B491" s="63">
        <v>4</v>
      </c>
      <c r="C491" s="105" t="s">
        <v>3</v>
      </c>
      <c r="D491" s="5" t="s">
        <v>485</v>
      </c>
      <c r="E491" s="311">
        <f t="shared" si="160"/>
        <v>23</v>
      </c>
      <c r="F491" s="45">
        <f t="shared" si="155"/>
        <v>168</v>
      </c>
      <c r="G491" s="303">
        <f t="shared" si="161"/>
        <v>3864</v>
      </c>
      <c r="H491" s="114">
        <f t="shared" si="156"/>
        <v>309.12000000000006</v>
      </c>
      <c r="I491" s="114">
        <f t="shared" si="157"/>
        <v>185.47200000000001</v>
      </c>
      <c r="J491" s="114">
        <f t="shared" si="158"/>
        <v>309.12000000000006</v>
      </c>
      <c r="K491" s="114">
        <f t="shared" si="159"/>
        <v>0</v>
      </c>
      <c r="L491" s="224">
        <f t="shared" si="162"/>
        <v>3060.2879999999996</v>
      </c>
      <c r="M491" s="114">
        <f>IFERROR(IF('Payroll 2020'!C491='Payroll 2020'!$A$3,IF('Income Statement 2020'!$M$22&gt;0,'Income Statement 2020'!$M$22*0.1*('Payroll 2020'!G491/SUMIF($C$488:$C$526,$A$3,$G$488:$G$526)),0),0),0)</f>
        <v>0</v>
      </c>
      <c r="N491" s="224">
        <f t="shared" si="163"/>
        <v>3060.2879999999996</v>
      </c>
    </row>
    <row r="492" spans="1:14" outlineLevel="1" x14ac:dyDescent="0.25">
      <c r="A492" s="104" t="s">
        <v>182</v>
      </c>
      <c r="B492" s="63">
        <v>5</v>
      </c>
      <c r="C492" s="105" t="s">
        <v>3</v>
      </c>
      <c r="D492" s="5" t="s">
        <v>486</v>
      </c>
      <c r="E492" s="311">
        <f t="shared" si="160"/>
        <v>40</v>
      </c>
      <c r="F492" s="45">
        <f t="shared" si="155"/>
        <v>168</v>
      </c>
      <c r="G492" s="303">
        <f t="shared" si="161"/>
        <v>6720</v>
      </c>
      <c r="H492" s="114">
        <f t="shared" si="156"/>
        <v>537.60000000000014</v>
      </c>
      <c r="I492" s="114">
        <f t="shared" si="157"/>
        <v>322.56</v>
      </c>
      <c r="J492" s="114">
        <f t="shared" si="158"/>
        <v>537.60000000000014</v>
      </c>
      <c r="K492" s="114">
        <f t="shared" si="159"/>
        <v>0</v>
      </c>
      <c r="L492" s="224">
        <f t="shared" si="162"/>
        <v>5322.24</v>
      </c>
      <c r="M492" s="114">
        <f>IFERROR(IF('Payroll 2020'!C492='Payroll 2020'!$A$3,IF('Income Statement 2020'!$M$22&gt;0,'Income Statement 2020'!$M$22*0.1*('Payroll 2020'!G492/SUMIF($C$488:$C$526,$A$3,$G$488:$G$526)),0),0),0)</f>
        <v>0</v>
      </c>
      <c r="N492" s="224">
        <f t="shared" si="163"/>
        <v>5322.24</v>
      </c>
    </row>
    <row r="493" spans="1:14" outlineLevel="1" x14ac:dyDescent="0.25">
      <c r="A493" s="104" t="s">
        <v>198</v>
      </c>
      <c r="B493" s="63">
        <v>6</v>
      </c>
      <c r="C493" s="105" t="s">
        <v>3</v>
      </c>
      <c r="D493" s="5" t="s">
        <v>486</v>
      </c>
      <c r="E493" s="311">
        <f t="shared" si="160"/>
        <v>28</v>
      </c>
      <c r="F493" s="45">
        <f t="shared" si="155"/>
        <v>168</v>
      </c>
      <c r="G493" s="303">
        <f t="shared" si="161"/>
        <v>4704</v>
      </c>
      <c r="H493" s="114">
        <f t="shared" si="156"/>
        <v>376.32000000000005</v>
      </c>
      <c r="I493" s="114">
        <f t="shared" si="157"/>
        <v>225.792</v>
      </c>
      <c r="J493" s="114">
        <f t="shared" si="158"/>
        <v>376.32000000000005</v>
      </c>
      <c r="K493" s="114">
        <f t="shared" si="159"/>
        <v>0</v>
      </c>
      <c r="L493" s="224">
        <f t="shared" si="162"/>
        <v>3725.5679999999998</v>
      </c>
      <c r="M493" s="114">
        <f>IFERROR(IF('Payroll 2020'!C493='Payroll 2020'!$A$3,IF('Income Statement 2020'!$M$22&gt;0,'Income Statement 2020'!$M$22*0.1*('Payroll 2020'!G493/SUMIF($C$488:$C$526,$A$3,$G$488:$G$526)),0),0),0)</f>
        <v>0</v>
      </c>
      <c r="N493" s="224">
        <f t="shared" si="163"/>
        <v>3725.5679999999998</v>
      </c>
    </row>
    <row r="494" spans="1:14" outlineLevel="1" x14ac:dyDescent="0.25">
      <c r="A494" s="104" t="s">
        <v>199</v>
      </c>
      <c r="B494" s="63">
        <v>7</v>
      </c>
      <c r="C494" s="105" t="s">
        <v>3</v>
      </c>
      <c r="D494" s="5" t="s">
        <v>486</v>
      </c>
      <c r="E494" s="311">
        <f t="shared" si="160"/>
        <v>23</v>
      </c>
      <c r="F494" s="45">
        <f t="shared" si="155"/>
        <v>168</v>
      </c>
      <c r="G494" s="303">
        <f t="shared" si="161"/>
        <v>3864</v>
      </c>
      <c r="H494" s="114">
        <f t="shared" si="156"/>
        <v>309.12000000000006</v>
      </c>
      <c r="I494" s="114">
        <f t="shared" si="157"/>
        <v>185.47200000000001</v>
      </c>
      <c r="J494" s="114">
        <f t="shared" si="158"/>
        <v>309.12000000000006</v>
      </c>
      <c r="K494" s="114">
        <f t="shared" si="159"/>
        <v>0</v>
      </c>
      <c r="L494" s="224">
        <f t="shared" si="162"/>
        <v>3060.2879999999996</v>
      </c>
      <c r="M494" s="114">
        <f>IFERROR(IF('Payroll 2020'!C494='Payroll 2020'!$A$3,IF('Income Statement 2020'!$M$22&gt;0,'Income Statement 2020'!$M$22*0.1*('Payroll 2020'!G494/SUMIF($C$488:$C$526,$A$3,$G$488:$G$526)),0),0),0)</f>
        <v>0</v>
      </c>
      <c r="N494" s="224">
        <f t="shared" si="163"/>
        <v>3060.2879999999996</v>
      </c>
    </row>
    <row r="495" spans="1:14" outlineLevel="1" x14ac:dyDescent="0.25">
      <c r="A495" s="104" t="s">
        <v>200</v>
      </c>
      <c r="B495" s="63">
        <v>8</v>
      </c>
      <c r="C495" s="105" t="s">
        <v>3</v>
      </c>
      <c r="D495" s="5" t="s">
        <v>486</v>
      </c>
      <c r="E495" s="311">
        <f t="shared" si="160"/>
        <v>23</v>
      </c>
      <c r="F495" s="45">
        <f t="shared" si="155"/>
        <v>168</v>
      </c>
      <c r="G495" s="303">
        <f t="shared" si="161"/>
        <v>3864</v>
      </c>
      <c r="H495" s="114">
        <f t="shared" si="156"/>
        <v>309.12000000000006</v>
      </c>
      <c r="I495" s="114">
        <f t="shared" si="157"/>
        <v>185.47200000000001</v>
      </c>
      <c r="J495" s="114">
        <f t="shared" si="158"/>
        <v>309.12000000000006</v>
      </c>
      <c r="K495" s="114">
        <f t="shared" si="159"/>
        <v>0</v>
      </c>
      <c r="L495" s="224">
        <f t="shared" si="162"/>
        <v>3060.2879999999996</v>
      </c>
      <c r="M495" s="114">
        <f>IFERROR(IF('Payroll 2020'!C495='Payroll 2020'!$A$3,IF('Income Statement 2020'!$M$22&gt;0,'Income Statement 2020'!$M$22*0.1*('Payroll 2020'!G495/SUMIF($C$488:$C$526,$A$3,$G$488:$G$526)),0),0),0)</f>
        <v>0</v>
      </c>
      <c r="N495" s="224">
        <f t="shared" si="163"/>
        <v>3060.2879999999996</v>
      </c>
    </row>
    <row r="496" spans="1:14" outlineLevel="1" x14ac:dyDescent="0.25">
      <c r="A496" s="104" t="s">
        <v>184</v>
      </c>
      <c r="B496" s="63">
        <v>9</v>
      </c>
      <c r="C496" s="105" t="s">
        <v>3</v>
      </c>
      <c r="D496" s="5" t="s">
        <v>487</v>
      </c>
      <c r="E496" s="311">
        <f t="shared" si="160"/>
        <v>18</v>
      </c>
      <c r="F496" s="45">
        <f t="shared" si="155"/>
        <v>168</v>
      </c>
      <c r="G496" s="303">
        <f t="shared" si="161"/>
        <v>3024</v>
      </c>
      <c r="H496" s="114">
        <f t="shared" si="156"/>
        <v>241.92000000000004</v>
      </c>
      <c r="I496" s="114">
        <f t="shared" si="157"/>
        <v>145.15200000000002</v>
      </c>
      <c r="J496" s="114">
        <f t="shared" si="158"/>
        <v>241.92000000000004</v>
      </c>
      <c r="K496" s="114">
        <f t="shared" si="159"/>
        <v>0</v>
      </c>
      <c r="L496" s="224">
        <f t="shared" si="162"/>
        <v>2395.0079999999998</v>
      </c>
      <c r="M496" s="114">
        <f>IFERROR(IF('Payroll 2020'!C496='Payroll 2020'!$A$3,IF('Income Statement 2020'!$M$22&gt;0,'Income Statement 2020'!$M$22*0.1*('Payroll 2020'!G496/SUMIF($C$488:$C$526,$A$3,$G$488:$G$526)),0),0),0)</f>
        <v>0</v>
      </c>
      <c r="N496" s="224">
        <f t="shared" si="163"/>
        <v>2395.0079999999998</v>
      </c>
    </row>
    <row r="497" spans="1:14" outlineLevel="1" x14ac:dyDescent="0.25">
      <c r="A497" s="104" t="s">
        <v>186</v>
      </c>
      <c r="B497" s="63">
        <v>10</v>
      </c>
      <c r="C497" s="105" t="s">
        <v>3</v>
      </c>
      <c r="D497" s="5" t="s">
        <v>486</v>
      </c>
      <c r="E497" s="311">
        <f t="shared" si="160"/>
        <v>23</v>
      </c>
      <c r="F497" s="45">
        <f t="shared" si="155"/>
        <v>168</v>
      </c>
      <c r="G497" s="303">
        <f t="shared" si="161"/>
        <v>3864</v>
      </c>
      <c r="H497" s="114">
        <f t="shared" si="156"/>
        <v>309.12000000000006</v>
      </c>
      <c r="I497" s="114">
        <f t="shared" si="157"/>
        <v>185.47200000000001</v>
      </c>
      <c r="J497" s="114">
        <f t="shared" si="158"/>
        <v>309.12000000000006</v>
      </c>
      <c r="K497" s="114">
        <f t="shared" si="159"/>
        <v>0</v>
      </c>
      <c r="L497" s="224">
        <f t="shared" si="162"/>
        <v>3060.2879999999996</v>
      </c>
      <c r="M497" s="114">
        <f>IFERROR(IF('Payroll 2020'!C497='Payroll 2020'!$A$3,IF('Income Statement 2020'!$M$22&gt;0,'Income Statement 2020'!$M$22*0.1*('Payroll 2020'!G497/SUMIF($C$488:$C$526,$A$3,$G$488:$G$526)),0),0),0)</f>
        <v>0</v>
      </c>
      <c r="N497" s="224">
        <f t="shared" si="163"/>
        <v>3060.2879999999996</v>
      </c>
    </row>
    <row r="498" spans="1:14" outlineLevel="1" x14ac:dyDescent="0.25">
      <c r="A498" s="104" t="s">
        <v>187</v>
      </c>
      <c r="B498" s="63">
        <v>11</v>
      </c>
      <c r="C498" s="105" t="s">
        <v>3</v>
      </c>
      <c r="D498" s="5" t="s">
        <v>486</v>
      </c>
      <c r="E498" s="311">
        <f t="shared" si="160"/>
        <v>40</v>
      </c>
      <c r="F498" s="45">
        <f t="shared" si="155"/>
        <v>168</v>
      </c>
      <c r="G498" s="224">
        <f t="shared" si="161"/>
        <v>6720</v>
      </c>
      <c r="H498" s="114">
        <f t="shared" si="156"/>
        <v>537.60000000000014</v>
      </c>
      <c r="I498" s="114">
        <f t="shared" si="157"/>
        <v>322.56</v>
      </c>
      <c r="J498" s="114">
        <f t="shared" si="158"/>
        <v>537.60000000000014</v>
      </c>
      <c r="K498" s="114">
        <f t="shared" si="159"/>
        <v>0</v>
      </c>
      <c r="L498" s="224">
        <f t="shared" si="162"/>
        <v>5322.24</v>
      </c>
      <c r="M498" s="114">
        <f>IFERROR(IF('Payroll 2020'!C498='Payroll 2020'!$A$3,IF('Income Statement 2020'!$M$22&gt;0,'Income Statement 2020'!$M$22*0.1*('Payroll 2020'!G498/SUMIF($C$488:$C$526,$A$3,$G$488:$G$526)),0),0),0)</f>
        <v>0</v>
      </c>
      <c r="N498" s="224">
        <f t="shared" si="163"/>
        <v>5322.24</v>
      </c>
    </row>
    <row r="499" spans="1:14" outlineLevel="1" x14ac:dyDescent="0.25">
      <c r="A499" s="104" t="s">
        <v>201</v>
      </c>
      <c r="B499" s="63">
        <v>12</v>
      </c>
      <c r="C499" s="105" t="s">
        <v>3</v>
      </c>
      <c r="D499" s="5" t="s">
        <v>486</v>
      </c>
      <c r="E499" s="311">
        <f t="shared" si="160"/>
        <v>40</v>
      </c>
      <c r="F499" s="45">
        <f t="shared" si="155"/>
        <v>168</v>
      </c>
      <c r="G499" s="224">
        <f t="shared" si="161"/>
        <v>6720</v>
      </c>
      <c r="H499" s="114">
        <f t="shared" si="156"/>
        <v>537.60000000000014</v>
      </c>
      <c r="I499" s="114">
        <f t="shared" si="157"/>
        <v>322.56</v>
      </c>
      <c r="J499" s="114">
        <f t="shared" si="158"/>
        <v>537.60000000000014</v>
      </c>
      <c r="K499" s="114">
        <f t="shared" si="159"/>
        <v>0</v>
      </c>
      <c r="L499" s="224">
        <f t="shared" si="162"/>
        <v>5322.24</v>
      </c>
      <c r="M499" s="114">
        <f>IFERROR(IF('Payroll 2020'!C499='Payroll 2020'!$A$3,IF('Income Statement 2020'!$M$22&gt;0,'Income Statement 2020'!$M$22*0.1*('Payroll 2020'!G499/SUMIF($C$488:$C$526,$A$3,$G$488:$G$526)),0),0),0)</f>
        <v>0</v>
      </c>
      <c r="N499" s="224">
        <f t="shared" si="163"/>
        <v>5322.24</v>
      </c>
    </row>
    <row r="500" spans="1:14" outlineLevel="1" x14ac:dyDescent="0.25">
      <c r="A500" s="104" t="s">
        <v>189</v>
      </c>
      <c r="B500" s="63">
        <v>13</v>
      </c>
      <c r="C500" s="105" t="s">
        <v>3</v>
      </c>
      <c r="D500" s="5" t="s">
        <v>486</v>
      </c>
      <c r="E500" s="311">
        <f t="shared" si="160"/>
        <v>30</v>
      </c>
      <c r="F500" s="45">
        <f t="shared" si="155"/>
        <v>168</v>
      </c>
      <c r="G500" s="224">
        <f t="shared" si="161"/>
        <v>5040</v>
      </c>
      <c r="H500" s="114">
        <f t="shared" si="156"/>
        <v>403.2000000000001</v>
      </c>
      <c r="I500" s="114">
        <f t="shared" si="157"/>
        <v>241.92000000000002</v>
      </c>
      <c r="J500" s="114">
        <f t="shared" si="158"/>
        <v>403.2000000000001</v>
      </c>
      <c r="K500" s="114">
        <f t="shared" si="159"/>
        <v>0</v>
      </c>
      <c r="L500" s="224">
        <f t="shared" si="162"/>
        <v>3991.68</v>
      </c>
      <c r="M500" s="114">
        <f>IFERROR(IF('Payroll 2020'!C500='Payroll 2020'!$A$3,IF('Income Statement 2020'!$M$22&gt;0,'Income Statement 2020'!$M$22*0.1*('Payroll 2020'!G500/SUMIF($C$488:$C$526,$A$3,$G$488:$G$526)),0),0),0)</f>
        <v>0</v>
      </c>
      <c r="N500" s="224">
        <f t="shared" si="163"/>
        <v>3991.68</v>
      </c>
    </row>
    <row r="501" spans="1:14" outlineLevel="1" x14ac:dyDescent="0.25">
      <c r="A501" s="104" t="s">
        <v>190</v>
      </c>
      <c r="B501" s="63">
        <v>14</v>
      </c>
      <c r="C501" s="105" t="s">
        <v>5</v>
      </c>
      <c r="D501" s="5" t="s">
        <v>487</v>
      </c>
      <c r="E501" s="311">
        <f t="shared" si="160"/>
        <v>7.5</v>
      </c>
      <c r="F501" s="45">
        <f t="shared" si="155"/>
        <v>168</v>
      </c>
      <c r="G501" s="224">
        <f t="shared" si="161"/>
        <v>1260</v>
      </c>
      <c r="H501" s="114"/>
      <c r="I501" s="114"/>
      <c r="J501" s="114"/>
      <c r="K501" s="114"/>
      <c r="L501" s="224">
        <f t="shared" si="162"/>
        <v>1260</v>
      </c>
      <c r="M501" s="114">
        <f>IFERROR(IF('Payroll 2020'!C501='Payroll 2020'!$A$3,IF('Income Statement 2020'!$M$22&gt;0,'Income Statement 2020'!$M$22*0.1*('Payroll 2020'!G501/SUMIF($C$488:$C$526,$A$3,$G$488:$G$526)),0),0),0)</f>
        <v>0</v>
      </c>
      <c r="N501" s="224">
        <f t="shared" si="163"/>
        <v>1260</v>
      </c>
    </row>
    <row r="502" spans="1:14" outlineLevel="1" x14ac:dyDescent="0.25">
      <c r="A502" s="104" t="s">
        <v>191</v>
      </c>
      <c r="B502" s="63">
        <v>15</v>
      </c>
      <c r="C502" s="105" t="s">
        <v>5</v>
      </c>
      <c r="D502" s="5" t="s">
        <v>486</v>
      </c>
      <c r="E502" s="311">
        <f t="shared" si="160"/>
        <v>10</v>
      </c>
      <c r="F502" s="45">
        <f t="shared" si="155"/>
        <v>168</v>
      </c>
      <c r="G502" s="224">
        <f t="shared" si="161"/>
        <v>1680</v>
      </c>
      <c r="H502" s="114"/>
      <c r="I502" s="114"/>
      <c r="J502" s="114"/>
      <c r="K502" s="114"/>
      <c r="L502" s="224">
        <f t="shared" si="162"/>
        <v>1680</v>
      </c>
      <c r="M502" s="114">
        <f>IFERROR(IF('Payroll 2020'!C502='Payroll 2020'!$A$3,IF('Income Statement 2020'!$M$22&gt;0,'Income Statement 2020'!$M$22*0.1*('Payroll 2020'!G502/SUMIF($C$488:$C$526,$A$3,$G$488:$G$526)),0),0),0)</f>
        <v>0</v>
      </c>
      <c r="N502" s="224">
        <f t="shared" si="163"/>
        <v>1680</v>
      </c>
    </row>
    <row r="503" spans="1:14" outlineLevel="1" x14ac:dyDescent="0.25">
      <c r="A503" s="104" t="s">
        <v>192</v>
      </c>
      <c r="B503" s="63">
        <v>16</v>
      </c>
      <c r="C503" s="105" t="s">
        <v>5</v>
      </c>
      <c r="D503" s="5" t="s">
        <v>486</v>
      </c>
      <c r="E503" s="311">
        <f t="shared" si="160"/>
        <v>7.5</v>
      </c>
      <c r="F503" s="45">
        <f t="shared" si="155"/>
        <v>168</v>
      </c>
      <c r="G503" s="224">
        <f t="shared" si="161"/>
        <v>1260</v>
      </c>
      <c r="H503" s="114"/>
      <c r="I503" s="114"/>
      <c r="J503" s="114"/>
      <c r="K503" s="114"/>
      <c r="L503" s="224">
        <f t="shared" si="162"/>
        <v>1260</v>
      </c>
      <c r="M503" s="114">
        <f>IFERROR(IF('Payroll 2020'!C503='Payroll 2020'!$A$3,IF('Income Statement 2020'!$M$22&gt;0,'Income Statement 2020'!$M$22*0.1*('Payroll 2020'!G503/SUMIF($C$488:$C$526,$A$3,$G$488:$G$526)),0),0),0)</f>
        <v>0</v>
      </c>
      <c r="N503" s="224">
        <f t="shared" si="163"/>
        <v>1260</v>
      </c>
    </row>
    <row r="504" spans="1:14" outlineLevel="1" x14ac:dyDescent="0.25">
      <c r="A504" s="104" t="s">
        <v>196</v>
      </c>
      <c r="B504" s="63">
        <v>17</v>
      </c>
      <c r="C504" s="105" t="s">
        <v>5</v>
      </c>
      <c r="D504" s="5" t="s">
        <v>486</v>
      </c>
      <c r="E504" s="311">
        <f t="shared" si="160"/>
        <v>7.5</v>
      </c>
      <c r="F504" s="45">
        <f t="shared" si="155"/>
        <v>168</v>
      </c>
      <c r="G504" s="224">
        <f t="shared" si="161"/>
        <v>1260</v>
      </c>
      <c r="H504" s="114"/>
      <c r="I504" s="114"/>
      <c r="J504" s="114"/>
      <c r="K504" s="114"/>
      <c r="L504" s="224">
        <f t="shared" si="162"/>
        <v>1260</v>
      </c>
      <c r="M504" s="114">
        <f>IFERROR(IF('Payroll 2020'!C504='Payroll 2020'!$A$3,IF('Income Statement 2020'!$M$22&gt;0,'Income Statement 2020'!$M$22*0.1*('Payroll 2020'!G504/SUMIF($C$488:$C$526,$A$3,$G$488:$G$526)),0),0),0)</f>
        <v>0</v>
      </c>
      <c r="N504" s="224">
        <f t="shared" si="163"/>
        <v>1260</v>
      </c>
    </row>
    <row r="505" spans="1:14" outlineLevel="1" x14ac:dyDescent="0.25">
      <c r="A505" s="104" t="s">
        <v>193</v>
      </c>
      <c r="B505" s="63">
        <v>18</v>
      </c>
      <c r="C505" s="105" t="s">
        <v>3</v>
      </c>
      <c r="D505" s="5" t="s">
        <v>486</v>
      </c>
      <c r="E505" s="311">
        <f t="shared" si="160"/>
        <v>22</v>
      </c>
      <c r="F505" s="45">
        <f t="shared" si="155"/>
        <v>168</v>
      </c>
      <c r="G505" s="224">
        <f t="shared" si="161"/>
        <v>3696</v>
      </c>
      <c r="H505" s="114">
        <f>IFERROR(G505*$H$37,0)</f>
        <v>295.68000000000006</v>
      </c>
      <c r="I505" s="114">
        <f>IFERROR(G505*$I$37,0)</f>
        <v>177.40800000000002</v>
      </c>
      <c r="J505" s="114">
        <f>IF(C505=$A$3,G505*$J$37,0)</f>
        <v>295.68000000000006</v>
      </c>
      <c r="K505" s="114">
        <f>IF(C505=$A$3,G505*$K$37,0)</f>
        <v>0</v>
      </c>
      <c r="L505" s="224">
        <f t="shared" si="162"/>
        <v>2927.232</v>
      </c>
      <c r="M505" s="114">
        <f>IFERROR(IF('Payroll 2020'!C505='Payroll 2020'!$A$3,IF('Income Statement 2020'!$M$22&gt;0,'Income Statement 2020'!$M$22*0.1*('Payroll 2020'!G505/SUMIF($C$488:$C$526,$A$3,$G$488:$G$526)),0),0),0)</f>
        <v>0</v>
      </c>
      <c r="N505" s="224">
        <f t="shared" si="163"/>
        <v>2927.232</v>
      </c>
    </row>
    <row r="506" spans="1:14" outlineLevel="1" x14ac:dyDescent="0.25">
      <c r="A506" s="104" t="s">
        <v>194</v>
      </c>
      <c r="B506" s="63">
        <v>19</v>
      </c>
      <c r="C506" s="105" t="s">
        <v>3</v>
      </c>
      <c r="D506" s="5" t="s">
        <v>486</v>
      </c>
      <c r="E506" s="311">
        <f t="shared" si="160"/>
        <v>25</v>
      </c>
      <c r="F506" s="45">
        <f t="shared" si="155"/>
        <v>168</v>
      </c>
      <c r="G506" s="224">
        <f t="shared" si="161"/>
        <v>4200</v>
      </c>
      <c r="H506" s="114">
        <f>IFERROR(G506*$H$37,0)</f>
        <v>336.00000000000006</v>
      </c>
      <c r="I506" s="114">
        <f>IFERROR(G506*$I$37,0)</f>
        <v>201.6</v>
      </c>
      <c r="J506" s="114">
        <f>IF(C506=$A$3,G506*$J$37,0)</f>
        <v>336.00000000000006</v>
      </c>
      <c r="K506" s="114">
        <f>IF(C506=$A$3,G506*$K$37,0)</f>
        <v>0</v>
      </c>
      <c r="L506" s="224">
        <f t="shared" si="162"/>
        <v>3326.3999999999996</v>
      </c>
      <c r="M506" s="114">
        <f>IFERROR(IF('Payroll 2020'!C506='Payroll 2020'!$A$3,IF('Income Statement 2020'!$M$22&gt;0,'Income Statement 2020'!$M$22*0.1*('Payroll 2020'!G506/SUMIF($C$488:$C$526,$A$3,$G$488:$G$526)),0),0),0)</f>
        <v>0</v>
      </c>
      <c r="N506" s="224">
        <f t="shared" si="163"/>
        <v>3326.3999999999996</v>
      </c>
    </row>
    <row r="507" spans="1:14" outlineLevel="1" x14ac:dyDescent="0.25">
      <c r="A507" s="104" t="s">
        <v>202</v>
      </c>
      <c r="B507" s="63">
        <v>20</v>
      </c>
      <c r="C507" s="105" t="s">
        <v>3</v>
      </c>
      <c r="D507" s="5" t="s">
        <v>486</v>
      </c>
      <c r="E507" s="311">
        <f t="shared" si="160"/>
        <v>20</v>
      </c>
      <c r="F507" s="45">
        <f t="shared" si="155"/>
        <v>168</v>
      </c>
      <c r="G507" s="224">
        <f t="shared" si="161"/>
        <v>3360</v>
      </c>
      <c r="H507" s="114">
        <f>IFERROR(G507*$H$37,0)</f>
        <v>268.80000000000007</v>
      </c>
      <c r="I507" s="114">
        <f>IFERROR(G507*$I$37,0)</f>
        <v>161.28</v>
      </c>
      <c r="J507" s="114">
        <f>IF(C507=$A$3,G507*$J$37,0)</f>
        <v>268.80000000000007</v>
      </c>
      <c r="K507" s="114">
        <f>IF(C507=$A$3,G507*$K$37,0)</f>
        <v>0</v>
      </c>
      <c r="L507" s="224">
        <f t="shared" si="162"/>
        <v>2661.12</v>
      </c>
      <c r="M507" s="114">
        <f>IFERROR(IF('Payroll 2020'!C507='Payroll 2020'!$A$3,IF('Income Statement 2020'!$M$22&gt;0,'Income Statement 2020'!$M$22*0.1*('Payroll 2020'!G507/SUMIF($C$488:$C$526,$A$3,$G$488:$G$526)),0),0),0)</f>
        <v>0</v>
      </c>
      <c r="N507" s="224">
        <f t="shared" si="163"/>
        <v>2661.12</v>
      </c>
    </row>
    <row r="508" spans="1:14" outlineLevel="1" x14ac:dyDescent="0.25">
      <c r="A508" s="104" t="s">
        <v>195</v>
      </c>
      <c r="B508" s="63">
        <v>21</v>
      </c>
      <c r="C508" s="105" t="s">
        <v>5</v>
      </c>
      <c r="D508" s="5" t="s">
        <v>487</v>
      </c>
      <c r="E508" s="311">
        <f t="shared" si="160"/>
        <v>7.5</v>
      </c>
      <c r="F508" s="45">
        <f t="shared" si="155"/>
        <v>168</v>
      </c>
      <c r="G508" s="224">
        <f t="shared" si="161"/>
        <v>1260</v>
      </c>
      <c r="H508" s="114"/>
      <c r="I508" s="114"/>
      <c r="J508" s="114"/>
      <c r="K508" s="114"/>
      <c r="L508" s="224">
        <f t="shared" si="162"/>
        <v>1260</v>
      </c>
      <c r="M508" s="114">
        <f>IFERROR(IF('Payroll 2020'!C508='Payroll 2020'!$A$3,IF('Income Statement 2020'!$M$22&gt;0,'Income Statement 2020'!$M$22*0.1*('Payroll 2020'!G508/SUMIF($C$488:$C$526,$A$3,$G$488:$G$526)),0),0),0)</f>
        <v>0</v>
      </c>
      <c r="N508" s="224">
        <f t="shared" si="163"/>
        <v>1260</v>
      </c>
    </row>
    <row r="509" spans="1:14" outlineLevel="1" x14ac:dyDescent="0.25">
      <c r="A509" s="104" t="s">
        <v>197</v>
      </c>
      <c r="B509" s="63">
        <v>22</v>
      </c>
      <c r="C509" s="105" t="s">
        <v>5</v>
      </c>
      <c r="D509" s="5" t="s">
        <v>486</v>
      </c>
      <c r="E509" s="311">
        <f t="shared" si="160"/>
        <v>10</v>
      </c>
      <c r="F509" s="45">
        <f t="shared" si="155"/>
        <v>168</v>
      </c>
      <c r="G509" s="224">
        <f t="shared" si="161"/>
        <v>1680</v>
      </c>
      <c r="H509" s="114"/>
      <c r="I509" s="114"/>
      <c r="J509" s="114"/>
      <c r="K509" s="114"/>
      <c r="L509" s="224">
        <f t="shared" si="162"/>
        <v>1680</v>
      </c>
      <c r="M509" s="114">
        <f>IFERROR(IF('Payroll 2020'!C509='Payroll 2020'!$A$3,IF('Income Statement 2020'!$M$22&gt;0,'Income Statement 2020'!$M$22*0.1*('Payroll 2020'!G509/SUMIF($C$488:$C$526,$A$3,$G$488:$G$526)),0),0),0)</f>
        <v>0</v>
      </c>
      <c r="N509" s="224">
        <f t="shared" si="163"/>
        <v>1680</v>
      </c>
    </row>
    <row r="510" spans="1:14" outlineLevel="1" x14ac:dyDescent="0.25">
      <c r="A510" s="104" t="s">
        <v>205</v>
      </c>
      <c r="B510" s="63">
        <v>23</v>
      </c>
      <c r="C510" s="105" t="s">
        <v>5</v>
      </c>
      <c r="D510" s="5" t="s">
        <v>486</v>
      </c>
      <c r="E510" s="311">
        <f t="shared" si="160"/>
        <v>7.5</v>
      </c>
      <c r="F510" s="45">
        <f t="shared" si="155"/>
        <v>168</v>
      </c>
      <c r="G510" s="224">
        <f t="shared" si="161"/>
        <v>1260</v>
      </c>
      <c r="H510" s="114"/>
      <c r="I510" s="114"/>
      <c r="J510" s="114"/>
      <c r="K510" s="114"/>
      <c r="L510" s="224">
        <f t="shared" si="162"/>
        <v>1260</v>
      </c>
      <c r="M510" s="114">
        <f>IFERROR(IF('Payroll 2020'!C510='Payroll 2020'!$A$3,IF('Income Statement 2020'!$M$22&gt;0,'Income Statement 2020'!$M$22*0.1*('Payroll 2020'!G510/SUMIF($C$488:$C$526,$A$3,$G$488:$G$526)),0),0),0)</f>
        <v>0</v>
      </c>
      <c r="N510" s="224">
        <f t="shared" si="163"/>
        <v>1260</v>
      </c>
    </row>
    <row r="511" spans="1:14" outlineLevel="1" x14ac:dyDescent="0.25">
      <c r="A511" s="104" t="s">
        <v>204</v>
      </c>
      <c r="B511" s="63">
        <v>24</v>
      </c>
      <c r="C511" s="105" t="s">
        <v>5</v>
      </c>
      <c r="D511" s="5" t="s">
        <v>486</v>
      </c>
      <c r="E511" s="311">
        <f t="shared" si="160"/>
        <v>7.5</v>
      </c>
      <c r="F511" s="45">
        <f t="shared" si="155"/>
        <v>168</v>
      </c>
      <c r="G511" s="224">
        <f t="shared" si="161"/>
        <v>1260</v>
      </c>
      <c r="H511" s="114"/>
      <c r="I511" s="114"/>
      <c r="J511" s="114"/>
      <c r="K511" s="114"/>
      <c r="L511" s="224">
        <f t="shared" si="162"/>
        <v>1260</v>
      </c>
      <c r="M511" s="114">
        <f>IFERROR(IF('Payroll 2020'!C511='Payroll 2020'!$A$3,IF('Income Statement 2020'!$M$22&gt;0,'Income Statement 2020'!$M$22*0.1*('Payroll 2020'!G511/SUMIF($C$488:$C$526,$A$3,$G$488:$G$526)),0),0),0)</f>
        <v>0</v>
      </c>
      <c r="N511" s="224">
        <f t="shared" si="163"/>
        <v>1260</v>
      </c>
    </row>
    <row r="512" spans="1:14" outlineLevel="1" x14ac:dyDescent="0.25">
      <c r="A512" s="104" t="s">
        <v>207</v>
      </c>
      <c r="B512" s="63">
        <v>25</v>
      </c>
      <c r="C512" s="105" t="s">
        <v>5</v>
      </c>
      <c r="D512" s="5" t="s">
        <v>486</v>
      </c>
      <c r="E512" s="311">
        <f t="shared" si="160"/>
        <v>7.5</v>
      </c>
      <c r="F512" s="45">
        <f t="shared" si="155"/>
        <v>168</v>
      </c>
      <c r="G512" s="224">
        <f t="shared" si="161"/>
        <v>1260</v>
      </c>
      <c r="H512" s="114"/>
      <c r="I512" s="114"/>
      <c r="J512" s="114"/>
      <c r="K512" s="114"/>
      <c r="L512" s="224">
        <f t="shared" si="162"/>
        <v>1260</v>
      </c>
      <c r="M512" s="114">
        <f>IFERROR(IF('Payroll 2020'!C512='Payroll 2020'!$A$3,IF('Income Statement 2020'!$M$22&gt;0,'Income Statement 2020'!$M$22*0.1*('Payroll 2020'!G512/SUMIF($C$488:$C$526,$A$3,$G$488:$G$526)),0),0),0)</f>
        <v>0</v>
      </c>
      <c r="N512" s="224">
        <f t="shared" si="163"/>
        <v>1260</v>
      </c>
    </row>
    <row r="513" spans="1:14" outlineLevel="1" x14ac:dyDescent="0.25">
      <c r="A513" s="104" t="s">
        <v>206</v>
      </c>
      <c r="B513" s="63">
        <v>26</v>
      </c>
      <c r="C513" s="105" t="s">
        <v>5</v>
      </c>
      <c r="D513" s="5" t="s">
        <v>486</v>
      </c>
      <c r="E513" s="311">
        <f t="shared" si="160"/>
        <v>7.5</v>
      </c>
      <c r="F513" s="45">
        <f t="shared" si="155"/>
        <v>168</v>
      </c>
      <c r="G513" s="224">
        <f t="shared" si="161"/>
        <v>1260</v>
      </c>
      <c r="H513" s="114"/>
      <c r="I513" s="114"/>
      <c r="J513" s="114"/>
      <c r="K513" s="114"/>
      <c r="L513" s="224">
        <f t="shared" si="162"/>
        <v>1260</v>
      </c>
      <c r="M513" s="114">
        <f>IFERROR(IF('Payroll 2020'!C513='Payroll 2020'!$A$3,IF('Income Statement 2020'!$M$22&gt;0,'Income Statement 2020'!$M$22*0.1*('Payroll 2020'!G513/SUMIF($C$488:$C$526,$A$3,$G$488:$G$526)),0),0),0)</f>
        <v>0</v>
      </c>
      <c r="N513" s="224">
        <f t="shared" si="163"/>
        <v>1260</v>
      </c>
    </row>
    <row r="514" spans="1:14" outlineLevel="1" x14ac:dyDescent="0.25">
      <c r="A514" s="18" t="s">
        <v>245</v>
      </c>
      <c r="B514" s="63">
        <v>27</v>
      </c>
      <c r="C514" s="5" t="s">
        <v>3</v>
      </c>
      <c r="D514" s="5" t="s">
        <v>485</v>
      </c>
      <c r="E514" s="311">
        <f t="shared" si="160"/>
        <v>30</v>
      </c>
      <c r="F514" s="45">
        <f t="shared" ref="F514:F526" si="164">IF(C514=$A$3,$C$3*NETWORKDAYS($C$485,$E$485),0)</f>
        <v>168</v>
      </c>
      <c r="G514" s="224">
        <f t="shared" si="161"/>
        <v>5040</v>
      </c>
      <c r="H514" s="114">
        <f t="shared" ref="H514:H526" si="165">IFERROR(G514*$H$37,0)</f>
        <v>403.2000000000001</v>
      </c>
      <c r="I514" s="114">
        <f t="shared" ref="I514:I526" si="166">IFERROR(G514*$I$37,0)</f>
        <v>241.92000000000002</v>
      </c>
      <c r="J514" s="114">
        <f t="shared" ref="J514:J526" si="167">IF(C514=$A$3,G514*$J$37,0)</f>
        <v>403.2000000000001</v>
      </c>
      <c r="K514" s="114">
        <f t="shared" ref="K514:K526" si="168">IF(C514=$A$3,G514*$K$37,0)</f>
        <v>0</v>
      </c>
      <c r="L514" s="224">
        <f t="shared" si="162"/>
        <v>3991.68</v>
      </c>
      <c r="M514" s="114">
        <f>IFERROR(IF('Payroll 2020'!C514='Payroll 2020'!$A$3,IF('Income Statement 2020'!$M$22&gt;0,'Income Statement 2020'!$M$22*0.1*('Payroll 2020'!G514/SUMIF($C$488:$C$526,$A$3,$G$488:$G$526)),0),0),0)</f>
        <v>0</v>
      </c>
      <c r="N514" s="224">
        <f t="shared" si="163"/>
        <v>3991.68</v>
      </c>
    </row>
    <row r="515" spans="1:14" outlineLevel="1" x14ac:dyDescent="0.25">
      <c r="A515" s="18" t="s">
        <v>230</v>
      </c>
      <c r="B515" s="63">
        <v>28</v>
      </c>
      <c r="C515" s="5" t="s">
        <v>3</v>
      </c>
      <c r="D515" s="5" t="s">
        <v>485</v>
      </c>
      <c r="E515" s="311">
        <f t="shared" si="160"/>
        <v>23</v>
      </c>
      <c r="F515" s="45">
        <f t="shared" si="164"/>
        <v>168</v>
      </c>
      <c r="G515" s="224">
        <f t="shared" si="161"/>
        <v>3864</v>
      </c>
      <c r="H515" s="114">
        <f t="shared" si="165"/>
        <v>309.12000000000006</v>
      </c>
      <c r="I515" s="114">
        <f t="shared" si="166"/>
        <v>185.47200000000001</v>
      </c>
      <c r="J515" s="114">
        <f t="shared" si="167"/>
        <v>309.12000000000006</v>
      </c>
      <c r="K515" s="114">
        <f t="shared" si="168"/>
        <v>0</v>
      </c>
      <c r="L515" s="224">
        <f t="shared" si="162"/>
        <v>3060.2879999999996</v>
      </c>
      <c r="M515" s="114">
        <f>IFERROR(IF('Payroll 2020'!C515='Payroll 2020'!$A$3,IF('Income Statement 2020'!$M$22&gt;0,'Income Statement 2020'!$M$22*0.1*('Payroll 2020'!G515/SUMIF($C$488:$C$526,$A$3,$G$488:$G$526)),0),0),0)</f>
        <v>0</v>
      </c>
      <c r="N515" s="224">
        <f t="shared" si="163"/>
        <v>3060.2879999999996</v>
      </c>
    </row>
    <row r="516" spans="1:14" outlineLevel="1" x14ac:dyDescent="0.25">
      <c r="A516" s="18" t="s">
        <v>231</v>
      </c>
      <c r="B516" s="63">
        <v>29</v>
      </c>
      <c r="C516" s="5" t="s">
        <v>3</v>
      </c>
      <c r="D516" s="5" t="s">
        <v>485</v>
      </c>
      <c r="E516" s="311">
        <f t="shared" si="160"/>
        <v>17</v>
      </c>
      <c r="F516" s="45">
        <f t="shared" si="164"/>
        <v>168</v>
      </c>
      <c r="G516" s="224">
        <f t="shared" si="161"/>
        <v>2856</v>
      </c>
      <c r="H516" s="114">
        <f t="shared" si="165"/>
        <v>228.48000000000005</v>
      </c>
      <c r="I516" s="114">
        <f t="shared" si="166"/>
        <v>137.08799999999999</v>
      </c>
      <c r="J516" s="114">
        <f t="shared" si="167"/>
        <v>228.48000000000005</v>
      </c>
      <c r="K516" s="114">
        <f t="shared" si="168"/>
        <v>0</v>
      </c>
      <c r="L516" s="224">
        <f t="shared" si="162"/>
        <v>2261.9519999999998</v>
      </c>
      <c r="M516" s="114">
        <f>IFERROR(IF('Payroll 2020'!C516='Payroll 2020'!$A$3,IF('Income Statement 2020'!$M$22&gt;0,'Income Statement 2020'!$M$22*0.1*('Payroll 2020'!G516/SUMIF($C$488:$C$526,$A$3,$G$488:$G$526)),0),0),0)</f>
        <v>0</v>
      </c>
      <c r="N516" s="224">
        <f t="shared" si="163"/>
        <v>2261.9519999999998</v>
      </c>
    </row>
    <row r="517" spans="1:14" outlineLevel="1" x14ac:dyDescent="0.25">
      <c r="A517" s="18" t="s">
        <v>231</v>
      </c>
      <c r="B517" s="63">
        <v>30</v>
      </c>
      <c r="C517" s="5" t="s">
        <v>3</v>
      </c>
      <c r="D517" s="5" t="s">
        <v>485</v>
      </c>
      <c r="E517" s="311">
        <f t="shared" si="160"/>
        <v>17</v>
      </c>
      <c r="F517" s="45">
        <f t="shared" si="164"/>
        <v>168</v>
      </c>
      <c r="G517" s="224">
        <f t="shared" si="161"/>
        <v>2856</v>
      </c>
      <c r="H517" s="114">
        <f t="shared" si="165"/>
        <v>228.48000000000005</v>
      </c>
      <c r="I517" s="114">
        <f t="shared" si="166"/>
        <v>137.08799999999999</v>
      </c>
      <c r="J517" s="114">
        <f t="shared" si="167"/>
        <v>228.48000000000005</v>
      </c>
      <c r="K517" s="114">
        <f t="shared" si="168"/>
        <v>0</v>
      </c>
      <c r="L517" s="224">
        <f t="shared" si="162"/>
        <v>2261.9519999999998</v>
      </c>
      <c r="M517" s="114">
        <f>IFERROR(IF('Payroll 2020'!C517='Payroll 2020'!$A$3,IF('Income Statement 2020'!$M$22&gt;0,'Income Statement 2020'!$M$22*0.1*('Payroll 2020'!G517/SUMIF($C$488:$C$526,$A$3,$G$488:$G$526)),0),0),0)</f>
        <v>0</v>
      </c>
      <c r="N517" s="224">
        <f t="shared" si="163"/>
        <v>2261.9519999999998</v>
      </c>
    </row>
    <row r="518" spans="1:14" outlineLevel="1" x14ac:dyDescent="0.25">
      <c r="A518" s="18" t="s">
        <v>230</v>
      </c>
      <c r="B518" s="63">
        <v>31</v>
      </c>
      <c r="C518" s="5" t="s">
        <v>3</v>
      </c>
      <c r="D518" s="5" t="s">
        <v>485</v>
      </c>
      <c r="E518" s="311">
        <f t="shared" si="160"/>
        <v>23</v>
      </c>
      <c r="F518" s="45">
        <f t="shared" si="164"/>
        <v>168</v>
      </c>
      <c r="G518" s="224">
        <f t="shared" si="161"/>
        <v>3864</v>
      </c>
      <c r="H518" s="114">
        <f t="shared" si="165"/>
        <v>309.12000000000006</v>
      </c>
      <c r="I518" s="114">
        <f t="shared" si="166"/>
        <v>185.47200000000001</v>
      </c>
      <c r="J518" s="114">
        <f t="shared" si="167"/>
        <v>309.12000000000006</v>
      </c>
      <c r="K518" s="114">
        <f t="shared" si="168"/>
        <v>0</v>
      </c>
      <c r="L518" s="224">
        <f t="shared" si="162"/>
        <v>3060.2879999999996</v>
      </c>
      <c r="M518" s="114">
        <f>IFERROR(IF('Payroll 2020'!C518='Payroll 2020'!$A$3,IF('Income Statement 2020'!$M$22&gt;0,'Income Statement 2020'!$M$22*0.1*('Payroll 2020'!G518/SUMIF($C$488:$C$526,$A$3,$G$488:$G$526)),0),0),0)</f>
        <v>0</v>
      </c>
      <c r="N518" s="224">
        <f t="shared" si="163"/>
        <v>3060.2879999999996</v>
      </c>
    </row>
    <row r="519" spans="1:14" outlineLevel="1" x14ac:dyDescent="0.25">
      <c r="A519" s="18" t="s">
        <v>231</v>
      </c>
      <c r="B519" s="63">
        <v>32</v>
      </c>
      <c r="C519" s="5" t="s">
        <v>3</v>
      </c>
      <c r="D519" s="5" t="s">
        <v>485</v>
      </c>
      <c r="E519" s="311">
        <f t="shared" si="160"/>
        <v>17</v>
      </c>
      <c r="F519" s="45">
        <f t="shared" si="164"/>
        <v>168</v>
      </c>
      <c r="G519" s="224">
        <f t="shared" si="161"/>
        <v>2856</v>
      </c>
      <c r="H519" s="114">
        <f t="shared" si="165"/>
        <v>228.48000000000005</v>
      </c>
      <c r="I519" s="114">
        <f t="shared" si="166"/>
        <v>137.08799999999999</v>
      </c>
      <c r="J519" s="114">
        <f t="shared" si="167"/>
        <v>228.48000000000005</v>
      </c>
      <c r="K519" s="114">
        <f t="shared" si="168"/>
        <v>0</v>
      </c>
      <c r="L519" s="224">
        <f t="shared" si="162"/>
        <v>2261.9519999999998</v>
      </c>
      <c r="M519" s="114">
        <f>IFERROR(IF('Payroll 2020'!C519='Payroll 2020'!$A$3,IF('Income Statement 2020'!$M$22&gt;0,'Income Statement 2020'!$M$22*0.1*('Payroll 2020'!G519/SUMIF($C$488:$C$526,$A$3,$G$488:$G$526)),0),0),0)</f>
        <v>0</v>
      </c>
      <c r="N519" s="224">
        <f t="shared" si="163"/>
        <v>2261.9519999999998</v>
      </c>
    </row>
    <row r="520" spans="1:14" outlineLevel="1" x14ac:dyDescent="0.25">
      <c r="A520" s="18" t="s">
        <v>231</v>
      </c>
      <c r="B520" s="63">
        <v>33</v>
      </c>
      <c r="C520" s="5" t="s">
        <v>3</v>
      </c>
      <c r="D520" s="5" t="s">
        <v>485</v>
      </c>
      <c r="E520" s="311">
        <f t="shared" si="160"/>
        <v>17</v>
      </c>
      <c r="F520" s="45">
        <f t="shared" si="164"/>
        <v>168</v>
      </c>
      <c r="G520" s="224">
        <f t="shared" si="161"/>
        <v>2856</v>
      </c>
      <c r="H520" s="114">
        <f t="shared" si="165"/>
        <v>228.48000000000005</v>
      </c>
      <c r="I520" s="114">
        <f t="shared" si="166"/>
        <v>137.08799999999999</v>
      </c>
      <c r="J520" s="114">
        <f t="shared" si="167"/>
        <v>228.48000000000005</v>
      </c>
      <c r="K520" s="114">
        <f t="shared" si="168"/>
        <v>0</v>
      </c>
      <c r="L520" s="224">
        <f t="shared" si="162"/>
        <v>2261.9519999999998</v>
      </c>
      <c r="M520" s="114">
        <f>IFERROR(IF('Payroll 2020'!C520='Payroll 2020'!$A$3,IF('Income Statement 2020'!$M$22&gt;0,'Income Statement 2020'!$M$22*0.1*('Payroll 2020'!G520/SUMIF($C$488:$C$526,$A$3,$G$488:$G$526)),0),0),0)</f>
        <v>0</v>
      </c>
      <c r="N520" s="224">
        <f t="shared" si="163"/>
        <v>2261.9519999999998</v>
      </c>
    </row>
    <row r="521" spans="1:14" outlineLevel="1" x14ac:dyDescent="0.25">
      <c r="A521" s="18" t="s">
        <v>231</v>
      </c>
      <c r="B521" s="63">
        <v>34</v>
      </c>
      <c r="C521" s="5" t="s">
        <v>3</v>
      </c>
      <c r="D521" s="5" t="s">
        <v>485</v>
      </c>
      <c r="E521" s="311">
        <f t="shared" si="160"/>
        <v>17</v>
      </c>
      <c r="F521" s="45">
        <f t="shared" si="164"/>
        <v>168</v>
      </c>
      <c r="G521" s="224">
        <f t="shared" si="161"/>
        <v>2856</v>
      </c>
      <c r="H521" s="114">
        <f t="shared" si="165"/>
        <v>228.48000000000005</v>
      </c>
      <c r="I521" s="114">
        <f t="shared" si="166"/>
        <v>137.08799999999999</v>
      </c>
      <c r="J521" s="114">
        <f t="shared" si="167"/>
        <v>228.48000000000005</v>
      </c>
      <c r="K521" s="114">
        <f t="shared" si="168"/>
        <v>0</v>
      </c>
      <c r="L521" s="224">
        <f t="shared" si="162"/>
        <v>2261.9519999999998</v>
      </c>
      <c r="M521" s="114">
        <f>IFERROR(IF('Payroll 2020'!C521='Payroll 2020'!$A$3,IF('Income Statement 2020'!$M$22&gt;0,'Income Statement 2020'!$M$22*0.1*('Payroll 2020'!G521/SUMIF($C$488:$C$526,$A$3,$G$488:$G$526)),0),0),0)</f>
        <v>0</v>
      </c>
      <c r="N521" s="224">
        <f t="shared" si="163"/>
        <v>2261.9519999999998</v>
      </c>
    </row>
    <row r="522" spans="1:14" outlineLevel="1" x14ac:dyDescent="0.25">
      <c r="A522" s="18" t="s">
        <v>230</v>
      </c>
      <c r="B522" s="63">
        <v>35</v>
      </c>
      <c r="C522" s="5" t="s">
        <v>3</v>
      </c>
      <c r="D522" s="5" t="s">
        <v>485</v>
      </c>
      <c r="E522" s="124">
        <f>E518</f>
        <v>23</v>
      </c>
      <c r="F522" s="45">
        <f t="shared" si="164"/>
        <v>168</v>
      </c>
      <c r="G522" s="224">
        <f t="shared" si="161"/>
        <v>3864</v>
      </c>
      <c r="H522" s="114">
        <f t="shared" si="165"/>
        <v>309.12000000000006</v>
      </c>
      <c r="I522" s="114">
        <f t="shared" si="166"/>
        <v>185.47200000000001</v>
      </c>
      <c r="J522" s="114">
        <f t="shared" si="167"/>
        <v>309.12000000000006</v>
      </c>
      <c r="K522" s="114">
        <f t="shared" si="168"/>
        <v>0</v>
      </c>
      <c r="L522" s="224">
        <f t="shared" si="162"/>
        <v>3060.2879999999996</v>
      </c>
      <c r="M522" s="114">
        <f>IFERROR(IF('Payroll 2020'!C522='Payroll 2020'!$A$3,IF('Income Statement 2020'!$M$22&gt;0,'Income Statement 2020'!$M$22*0.1*('Payroll 2020'!G522/SUMIF($C$488:$C$526,$A$3,$G$488:$G$526)),0),0),0)</f>
        <v>0</v>
      </c>
      <c r="N522" s="224">
        <f t="shared" si="163"/>
        <v>3060.2879999999996</v>
      </c>
    </row>
    <row r="523" spans="1:14" outlineLevel="1" x14ac:dyDescent="0.25">
      <c r="A523" s="18" t="s">
        <v>231</v>
      </c>
      <c r="B523" s="63">
        <v>36</v>
      </c>
      <c r="C523" s="5" t="s">
        <v>3</v>
      </c>
      <c r="D523" s="5" t="s">
        <v>485</v>
      </c>
      <c r="E523" s="124">
        <f>E520</f>
        <v>17</v>
      </c>
      <c r="F523" s="45">
        <f t="shared" si="164"/>
        <v>168</v>
      </c>
      <c r="G523" s="224">
        <f t="shared" si="161"/>
        <v>2856</v>
      </c>
      <c r="H523" s="114">
        <f t="shared" si="165"/>
        <v>228.48000000000005</v>
      </c>
      <c r="I523" s="114">
        <f t="shared" si="166"/>
        <v>137.08799999999999</v>
      </c>
      <c r="J523" s="114">
        <f t="shared" si="167"/>
        <v>228.48000000000005</v>
      </c>
      <c r="K523" s="114">
        <f t="shared" si="168"/>
        <v>0</v>
      </c>
      <c r="L523" s="224">
        <f t="shared" si="162"/>
        <v>2261.9519999999998</v>
      </c>
      <c r="M523" s="114">
        <f>IFERROR(IF('Payroll 2020'!C523='Payroll 2020'!$A$3,IF('Income Statement 2020'!$M$22&gt;0,'Income Statement 2020'!$M$22*0.1*('Payroll 2020'!G523/SUMIF($C$488:$C$526,$A$3,$G$488:$G$526)),0),0),0)</f>
        <v>0</v>
      </c>
      <c r="N523" s="224">
        <f t="shared" si="163"/>
        <v>2261.9519999999998</v>
      </c>
    </row>
    <row r="524" spans="1:14" outlineLevel="1" x14ac:dyDescent="0.25">
      <c r="A524" s="18" t="s">
        <v>569</v>
      </c>
      <c r="B524" s="63">
        <v>37</v>
      </c>
      <c r="C524" s="1" t="s">
        <v>3</v>
      </c>
      <c r="D524" s="5" t="s">
        <v>488</v>
      </c>
      <c r="E524" s="124">
        <v>35</v>
      </c>
      <c r="F524" s="45">
        <f t="shared" ref="F524:F525" si="169">IF(C524=$A$3,$C$3*NETWORKDAYS($C$530,$E$530),0)</f>
        <v>184</v>
      </c>
      <c r="G524" s="224">
        <f t="shared" si="161"/>
        <v>6440</v>
      </c>
      <c r="H524" s="114">
        <f t="shared" si="165"/>
        <v>515.20000000000005</v>
      </c>
      <c r="I524" s="114">
        <f t="shared" si="166"/>
        <v>309.12</v>
      </c>
      <c r="J524" s="114">
        <f t="shared" si="167"/>
        <v>515.20000000000005</v>
      </c>
      <c r="K524" s="114">
        <f t="shared" si="168"/>
        <v>0</v>
      </c>
      <c r="L524" s="224">
        <f t="shared" si="162"/>
        <v>5100.4799999999996</v>
      </c>
      <c r="M524" s="114">
        <f>IFERROR(IF('Payroll 2020'!C524='Payroll 2020'!$A$3,IF('Income Statement 2020'!$N$22&gt;0,'Income Statement 2020'!$N$22*0.1*('Payroll 2020'!G524/SUMIF($C$533:$C$571,$A$3,$G$533:$G$571)),0),0),0)</f>
        <v>0</v>
      </c>
      <c r="N524" s="224">
        <f t="shared" si="163"/>
        <v>5100.4799999999996</v>
      </c>
    </row>
    <row r="525" spans="1:14" outlineLevel="1" x14ac:dyDescent="0.25">
      <c r="A525" s="18" t="s">
        <v>570</v>
      </c>
      <c r="B525" s="63">
        <v>38</v>
      </c>
      <c r="C525" s="1" t="s">
        <v>3</v>
      </c>
      <c r="D525" s="5" t="s">
        <v>488</v>
      </c>
      <c r="E525" s="124">
        <v>23</v>
      </c>
      <c r="F525" s="45">
        <f t="shared" si="169"/>
        <v>184</v>
      </c>
      <c r="G525" s="224">
        <f t="shared" si="161"/>
        <v>4232</v>
      </c>
      <c r="H525" s="114">
        <f t="shared" si="165"/>
        <v>338.56000000000006</v>
      </c>
      <c r="I525" s="114">
        <f t="shared" si="166"/>
        <v>203.136</v>
      </c>
      <c r="J525" s="114">
        <f t="shared" si="167"/>
        <v>338.56000000000006</v>
      </c>
      <c r="K525" s="114">
        <f t="shared" si="168"/>
        <v>0</v>
      </c>
      <c r="L525" s="224">
        <f t="shared" si="162"/>
        <v>3351.7439999999997</v>
      </c>
      <c r="M525" s="114">
        <f>IFERROR(IF('Payroll 2020'!C525='Payroll 2020'!$A$3,IF('Income Statement 2020'!$N$22&gt;0,'Income Statement 2020'!$N$22*0.1*('Payroll 2020'!G525/SUMIF($C$533:$C$571,$A$3,$G$533:$G$571)),0),0),0)</f>
        <v>0</v>
      </c>
      <c r="N525" s="224">
        <f t="shared" si="163"/>
        <v>3351.7439999999997</v>
      </c>
    </row>
    <row r="526" spans="1:14" ht="17" outlineLevel="1" thickBot="1" x14ac:dyDescent="0.3">
      <c r="A526" s="19"/>
      <c r="B526" s="126">
        <v>39</v>
      </c>
      <c r="C526" s="16"/>
      <c r="D526" s="16"/>
      <c r="E526" s="310"/>
      <c r="F526" s="46">
        <f t="shared" si="164"/>
        <v>0</v>
      </c>
      <c r="G526" s="306">
        <f t="shared" si="161"/>
        <v>0</v>
      </c>
      <c r="H526" s="305">
        <f t="shared" si="165"/>
        <v>0</v>
      </c>
      <c r="I526" s="305">
        <f t="shared" si="166"/>
        <v>0</v>
      </c>
      <c r="J526" s="305">
        <f t="shared" si="167"/>
        <v>0</v>
      </c>
      <c r="K526" s="305">
        <f t="shared" si="168"/>
        <v>0</v>
      </c>
      <c r="L526" s="306">
        <f t="shared" si="162"/>
        <v>0</v>
      </c>
      <c r="M526" s="305">
        <f>IFERROR(IF('Payroll 2020'!C526='Payroll 2020'!$A$3,IF('Income Statement 2020'!$M$22&gt;0,'Income Statement 2020'!$M$22*0.1*('Payroll 2020'!G526/SUMIF($C$488:$C$526,$A$3,$G$488:$G$526)),0),0),0)</f>
        <v>0</v>
      </c>
      <c r="N526" s="306">
        <f t="shared" si="163"/>
        <v>0</v>
      </c>
    </row>
    <row r="527" spans="1:14" outlineLevel="1" x14ac:dyDescent="0.25">
      <c r="A527" s="2" t="s">
        <v>19</v>
      </c>
      <c r="B527" s="2"/>
      <c r="C527" s="2"/>
      <c r="D527" s="2"/>
      <c r="E527" s="313">
        <f>AVERAGE(E488:E526)</f>
        <v>21.684210526315791</v>
      </c>
      <c r="F527" s="39">
        <f>IFERROR(SUM(F488:F526),"")</f>
        <v>6416</v>
      </c>
      <c r="G527" s="224">
        <f t="shared" ref="G527:N527" si="170">IFERROR(SUM(G488:G526),"")</f>
        <v>139360</v>
      </c>
      <c r="H527" s="224">
        <f t="shared" si="170"/>
        <v>10073.600000000002</v>
      </c>
      <c r="I527" s="224">
        <f t="shared" si="170"/>
        <v>6044.159999999998</v>
      </c>
      <c r="J527" s="224">
        <f t="shared" si="170"/>
        <v>10073.600000000002</v>
      </c>
      <c r="K527" s="224">
        <f t="shared" si="170"/>
        <v>0</v>
      </c>
      <c r="L527" s="224">
        <f t="shared" si="170"/>
        <v>113168.64000000001</v>
      </c>
      <c r="M527" s="224">
        <f t="shared" si="170"/>
        <v>0</v>
      </c>
      <c r="N527" s="224">
        <f t="shared" si="170"/>
        <v>113168.64000000001</v>
      </c>
    </row>
    <row r="528" spans="1:14" outlineLevel="1" x14ac:dyDescent="0.25"/>
    <row r="530" spans="1:14" x14ac:dyDescent="0.25">
      <c r="A530" s="2" t="s">
        <v>31</v>
      </c>
      <c r="B530" s="1" t="s">
        <v>17</v>
      </c>
      <c r="C530" s="20">
        <v>44166</v>
      </c>
      <c r="D530" s="1" t="s">
        <v>18</v>
      </c>
      <c r="E530" s="20">
        <v>44196</v>
      </c>
      <c r="F530" s="1" t="s">
        <v>42</v>
      </c>
      <c r="G530" s="1">
        <f>NETWORKDAYS(C530,E530)</f>
        <v>23</v>
      </c>
    </row>
    <row r="531" spans="1:14" ht="68" outlineLevel="1" x14ac:dyDescent="0.25">
      <c r="A531" s="11" t="s">
        <v>2</v>
      </c>
      <c r="B531" s="10" t="s">
        <v>12</v>
      </c>
      <c r="C531" s="10" t="s">
        <v>1</v>
      </c>
      <c r="D531" s="10" t="s">
        <v>483</v>
      </c>
      <c r="E531" s="10" t="s">
        <v>13</v>
      </c>
      <c r="F531" s="10" t="s">
        <v>15</v>
      </c>
      <c r="G531" s="10" t="str">
        <f>G486</f>
        <v>Monthly Wage including all charges</v>
      </c>
      <c r="H531" s="10" t="str">
        <f t="shared" ref="H531:J531" si="171">H486</f>
        <v>URSSAF</v>
      </c>
      <c r="I531" s="10" t="str">
        <f t="shared" si="171"/>
        <v>Impot à la source</v>
      </c>
      <c r="J531" s="10" t="str">
        <f t="shared" si="171"/>
        <v>Employee Pension</v>
      </c>
      <c r="K531" s="10"/>
      <c r="L531" s="10" t="s">
        <v>14</v>
      </c>
      <c r="M531" s="10" t="s">
        <v>11</v>
      </c>
      <c r="N531" s="10" t="s">
        <v>20</v>
      </c>
    </row>
    <row r="532" spans="1:14" ht="17" outlineLevel="1" thickBot="1" x14ac:dyDescent="0.3">
      <c r="A532" s="12"/>
      <c r="B532" s="13"/>
      <c r="C532" s="13"/>
      <c r="D532" s="13"/>
      <c r="E532" s="13"/>
      <c r="F532" s="13"/>
      <c r="G532" s="314">
        <f>H532+I532+J532</f>
        <v>0.20800000000000002</v>
      </c>
      <c r="H532" s="315">
        <f>H487</f>
        <v>8.0000000000000016E-2</v>
      </c>
      <c r="I532" s="315">
        <f t="shared" ref="I532:J532" si="172">I487</f>
        <v>4.8000000000000001E-2</v>
      </c>
      <c r="J532" s="315">
        <f t="shared" si="172"/>
        <v>8.0000000000000016E-2</v>
      </c>
      <c r="K532" s="14"/>
      <c r="L532" s="15"/>
      <c r="M532" s="14">
        <f>'Payroll 2020-2024'!$L$12</f>
        <v>0.1</v>
      </c>
      <c r="N532" s="15"/>
    </row>
    <row r="533" spans="1:14" outlineLevel="1" x14ac:dyDescent="0.25">
      <c r="A533" s="104" t="s">
        <v>178</v>
      </c>
      <c r="B533" s="63">
        <v>1</v>
      </c>
      <c r="C533" s="105" t="s">
        <v>3</v>
      </c>
      <c r="D533" s="5" t="s">
        <v>484</v>
      </c>
      <c r="E533" s="308">
        <f>E488</f>
        <v>48</v>
      </c>
      <c r="F533" s="45">
        <f t="shared" ref="F533:F545" si="173">IF(C533=$A$3,$C$3*NETWORKDAYS($C$530,$E$530),0)</f>
        <v>184</v>
      </c>
      <c r="G533" s="303">
        <f>IFERROR(E533*F533,0)</f>
        <v>8832</v>
      </c>
      <c r="H533" s="114">
        <f t="shared" ref="H533:H545" si="174">IFERROR(G533*$H$37,0)</f>
        <v>706.56000000000017</v>
      </c>
      <c r="I533" s="114">
        <f t="shared" ref="I533:I545" si="175">IFERROR(G533*$I$37,0)</f>
        <v>423.93600000000004</v>
      </c>
      <c r="J533" s="114">
        <f t="shared" ref="J533:J545" si="176">IF(C533=$A$3,G533*$J$37,0)</f>
        <v>706.56000000000017</v>
      </c>
      <c r="K533" s="114">
        <f t="shared" ref="K533:K545" si="177">IF(C533=$A$3,G533*$K$37,0)</f>
        <v>0</v>
      </c>
      <c r="L533" s="224">
        <f>IFERROR(G533-SUM(H533:K533),0)</f>
        <v>6994.9439999999995</v>
      </c>
      <c r="M533" s="114">
        <f>IFERROR(IF('Payroll 2020'!C533='Payroll 2020'!$A$3,IF('Income Statement 2020'!$N$22&gt;0,'Income Statement 2020'!$N$22*0.1*('Payroll 2020'!G533/SUMIF($C$533:$C$571,$A$3,$G$533:$G$571)),0),0),0)</f>
        <v>0</v>
      </c>
      <c r="N533" s="224">
        <f>IFERROR(L533+M533,0)</f>
        <v>6994.9439999999995</v>
      </c>
    </row>
    <row r="534" spans="1:14" outlineLevel="1" x14ac:dyDescent="0.25">
      <c r="A534" s="104" t="s">
        <v>179</v>
      </c>
      <c r="B534" s="63">
        <v>2</v>
      </c>
      <c r="C534" s="105" t="s">
        <v>3</v>
      </c>
      <c r="D534" s="5" t="s">
        <v>484</v>
      </c>
      <c r="E534" s="308">
        <f t="shared" ref="E534:E570" si="178">E489</f>
        <v>45</v>
      </c>
      <c r="F534" s="45">
        <f t="shared" si="173"/>
        <v>184</v>
      </c>
      <c r="G534" s="303">
        <f t="shared" ref="G534:G571" si="179">IFERROR(E534*F534,0)</f>
        <v>8280</v>
      </c>
      <c r="H534" s="114">
        <f t="shared" si="174"/>
        <v>662.40000000000009</v>
      </c>
      <c r="I534" s="114">
        <f t="shared" si="175"/>
        <v>397.44</v>
      </c>
      <c r="J534" s="114">
        <f t="shared" si="176"/>
        <v>662.40000000000009</v>
      </c>
      <c r="K534" s="114">
        <f t="shared" si="177"/>
        <v>0</v>
      </c>
      <c r="L534" s="224">
        <f t="shared" ref="L534:L571" si="180">IFERROR(G534-SUM(H534:K534),0)</f>
        <v>6557.76</v>
      </c>
      <c r="M534" s="114">
        <f>IFERROR(IF('Payroll 2020'!C534='Payroll 2020'!$A$3,IF('Income Statement 2020'!$N$22&gt;0,'Income Statement 2020'!$N$22*0.1*('Payroll 2020'!G534/SUMIF($C$533:$C$571,$A$3,$G$533:$G$571)),0),0),0)</f>
        <v>0</v>
      </c>
      <c r="N534" s="224">
        <f t="shared" ref="N534:N571" si="181">IFERROR(L534+M534,0)</f>
        <v>6557.76</v>
      </c>
    </row>
    <row r="535" spans="1:14" outlineLevel="1" x14ac:dyDescent="0.25">
      <c r="A535" s="104" t="s">
        <v>180</v>
      </c>
      <c r="B535" s="63">
        <v>3</v>
      </c>
      <c r="C535" s="105" t="s">
        <v>3</v>
      </c>
      <c r="D535" s="5" t="s">
        <v>484</v>
      </c>
      <c r="E535" s="308">
        <f t="shared" si="178"/>
        <v>37</v>
      </c>
      <c r="F535" s="45">
        <f t="shared" si="173"/>
        <v>184</v>
      </c>
      <c r="G535" s="303">
        <f t="shared" si="179"/>
        <v>6808</v>
      </c>
      <c r="H535" s="114">
        <f t="shared" si="174"/>
        <v>544.6400000000001</v>
      </c>
      <c r="I535" s="114">
        <f t="shared" si="175"/>
        <v>326.78399999999999</v>
      </c>
      <c r="J535" s="114">
        <f t="shared" si="176"/>
        <v>544.6400000000001</v>
      </c>
      <c r="K535" s="114">
        <f t="shared" si="177"/>
        <v>0</v>
      </c>
      <c r="L535" s="224">
        <f t="shared" si="180"/>
        <v>5391.9359999999997</v>
      </c>
      <c r="M535" s="114">
        <f>IFERROR(IF('Payroll 2020'!C535='Payroll 2020'!$A$3,IF('Income Statement 2020'!$N$22&gt;0,'Income Statement 2020'!$N$22*0.1*('Payroll 2020'!G535/SUMIF($C$533:$C$571,$A$3,$G$533:$G$571)),0),0),0)</f>
        <v>0</v>
      </c>
      <c r="N535" s="224">
        <f t="shared" si="181"/>
        <v>5391.9359999999997</v>
      </c>
    </row>
    <row r="536" spans="1:14" outlineLevel="1" x14ac:dyDescent="0.25">
      <c r="A536" s="104" t="s">
        <v>181</v>
      </c>
      <c r="B536" s="63">
        <v>4</v>
      </c>
      <c r="C536" s="105" t="s">
        <v>3</v>
      </c>
      <c r="D536" s="5" t="s">
        <v>485</v>
      </c>
      <c r="E536" s="308">
        <f t="shared" si="178"/>
        <v>23</v>
      </c>
      <c r="F536" s="45">
        <f t="shared" si="173"/>
        <v>184</v>
      </c>
      <c r="G536" s="303">
        <f t="shared" si="179"/>
        <v>4232</v>
      </c>
      <c r="H536" s="114">
        <f t="shared" si="174"/>
        <v>338.56000000000006</v>
      </c>
      <c r="I536" s="114">
        <f t="shared" si="175"/>
        <v>203.136</v>
      </c>
      <c r="J536" s="114">
        <f t="shared" si="176"/>
        <v>338.56000000000006</v>
      </c>
      <c r="K536" s="114">
        <f t="shared" si="177"/>
        <v>0</v>
      </c>
      <c r="L536" s="224">
        <f t="shared" si="180"/>
        <v>3351.7439999999997</v>
      </c>
      <c r="M536" s="114">
        <f>IFERROR(IF('Payroll 2020'!C536='Payroll 2020'!$A$3,IF('Income Statement 2020'!$N$22&gt;0,'Income Statement 2020'!$N$22*0.1*('Payroll 2020'!G536/SUMIF($C$533:$C$571,$A$3,$G$533:$G$571)),0),0),0)</f>
        <v>0</v>
      </c>
      <c r="N536" s="224">
        <f t="shared" si="181"/>
        <v>3351.7439999999997</v>
      </c>
    </row>
    <row r="537" spans="1:14" outlineLevel="1" x14ac:dyDescent="0.25">
      <c r="A537" s="104" t="s">
        <v>182</v>
      </c>
      <c r="B537" s="63">
        <v>5</v>
      </c>
      <c r="C537" s="105" t="s">
        <v>3</v>
      </c>
      <c r="D537" s="5" t="s">
        <v>486</v>
      </c>
      <c r="E537" s="308">
        <f t="shared" si="178"/>
        <v>40</v>
      </c>
      <c r="F537" s="45">
        <f t="shared" si="173"/>
        <v>184</v>
      </c>
      <c r="G537" s="303">
        <f t="shared" si="179"/>
        <v>7360</v>
      </c>
      <c r="H537" s="114">
        <f t="shared" si="174"/>
        <v>588.80000000000007</v>
      </c>
      <c r="I537" s="114">
        <f t="shared" si="175"/>
        <v>353.28000000000003</v>
      </c>
      <c r="J537" s="114">
        <f t="shared" si="176"/>
        <v>588.80000000000007</v>
      </c>
      <c r="K537" s="114">
        <f t="shared" si="177"/>
        <v>0</v>
      </c>
      <c r="L537" s="224">
        <f t="shared" si="180"/>
        <v>5829.12</v>
      </c>
      <c r="M537" s="114">
        <f>IFERROR(IF('Payroll 2020'!C537='Payroll 2020'!$A$3,IF('Income Statement 2020'!$N$22&gt;0,'Income Statement 2020'!$N$22*0.1*('Payroll 2020'!G537/SUMIF($C$533:$C$571,$A$3,$G$533:$G$571)),0),0),0)</f>
        <v>0</v>
      </c>
      <c r="N537" s="224">
        <f t="shared" si="181"/>
        <v>5829.12</v>
      </c>
    </row>
    <row r="538" spans="1:14" outlineLevel="1" x14ac:dyDescent="0.25">
      <c r="A538" s="104" t="s">
        <v>198</v>
      </c>
      <c r="B538" s="63">
        <v>6</v>
      </c>
      <c r="C538" s="105" t="s">
        <v>3</v>
      </c>
      <c r="D538" s="5" t="s">
        <v>486</v>
      </c>
      <c r="E538" s="308">
        <f t="shared" si="178"/>
        <v>28</v>
      </c>
      <c r="F538" s="45">
        <f t="shared" si="173"/>
        <v>184</v>
      </c>
      <c r="G538" s="303">
        <f t="shared" si="179"/>
        <v>5152</v>
      </c>
      <c r="H538" s="114">
        <f t="shared" si="174"/>
        <v>412.16000000000008</v>
      </c>
      <c r="I538" s="114">
        <f t="shared" si="175"/>
        <v>247.29599999999999</v>
      </c>
      <c r="J538" s="114">
        <f t="shared" si="176"/>
        <v>412.16000000000008</v>
      </c>
      <c r="K538" s="114">
        <f t="shared" si="177"/>
        <v>0</v>
      </c>
      <c r="L538" s="224">
        <f t="shared" si="180"/>
        <v>4080.384</v>
      </c>
      <c r="M538" s="114">
        <f>IFERROR(IF('Payroll 2020'!C538='Payroll 2020'!$A$3,IF('Income Statement 2020'!$N$22&gt;0,'Income Statement 2020'!$N$22*0.1*('Payroll 2020'!G538/SUMIF($C$533:$C$571,$A$3,$G$533:$G$571)),0),0),0)</f>
        <v>0</v>
      </c>
      <c r="N538" s="224">
        <f t="shared" si="181"/>
        <v>4080.384</v>
      </c>
    </row>
    <row r="539" spans="1:14" outlineLevel="1" x14ac:dyDescent="0.25">
      <c r="A539" s="104" t="s">
        <v>199</v>
      </c>
      <c r="B539" s="63">
        <v>7</v>
      </c>
      <c r="C539" s="105" t="s">
        <v>3</v>
      </c>
      <c r="D539" s="5" t="s">
        <v>486</v>
      </c>
      <c r="E539" s="308">
        <f t="shared" si="178"/>
        <v>23</v>
      </c>
      <c r="F539" s="45">
        <f t="shared" si="173"/>
        <v>184</v>
      </c>
      <c r="G539" s="303">
        <f t="shared" si="179"/>
        <v>4232</v>
      </c>
      <c r="H539" s="114">
        <f t="shared" si="174"/>
        <v>338.56000000000006</v>
      </c>
      <c r="I539" s="114">
        <f t="shared" si="175"/>
        <v>203.136</v>
      </c>
      <c r="J539" s="114">
        <f t="shared" si="176"/>
        <v>338.56000000000006</v>
      </c>
      <c r="K539" s="114">
        <f t="shared" si="177"/>
        <v>0</v>
      </c>
      <c r="L539" s="224">
        <f t="shared" si="180"/>
        <v>3351.7439999999997</v>
      </c>
      <c r="M539" s="114">
        <f>IFERROR(IF('Payroll 2020'!C539='Payroll 2020'!$A$3,IF('Income Statement 2020'!$N$22&gt;0,'Income Statement 2020'!$N$22*0.1*('Payroll 2020'!G539/SUMIF($C$533:$C$571,$A$3,$G$533:$G$571)),0),0),0)</f>
        <v>0</v>
      </c>
      <c r="N539" s="224">
        <f t="shared" si="181"/>
        <v>3351.7439999999997</v>
      </c>
    </row>
    <row r="540" spans="1:14" outlineLevel="1" x14ac:dyDescent="0.25">
      <c r="A540" s="104" t="s">
        <v>200</v>
      </c>
      <c r="B540" s="63">
        <v>8</v>
      </c>
      <c r="C540" s="105" t="s">
        <v>3</v>
      </c>
      <c r="D540" s="5" t="s">
        <v>486</v>
      </c>
      <c r="E540" s="308">
        <f t="shared" si="178"/>
        <v>23</v>
      </c>
      <c r="F540" s="45">
        <f t="shared" si="173"/>
        <v>184</v>
      </c>
      <c r="G540" s="303">
        <f t="shared" si="179"/>
        <v>4232</v>
      </c>
      <c r="H540" s="114">
        <f t="shared" si="174"/>
        <v>338.56000000000006</v>
      </c>
      <c r="I540" s="114">
        <f t="shared" si="175"/>
        <v>203.136</v>
      </c>
      <c r="J540" s="114">
        <f t="shared" si="176"/>
        <v>338.56000000000006</v>
      </c>
      <c r="K540" s="114">
        <f t="shared" si="177"/>
        <v>0</v>
      </c>
      <c r="L540" s="224">
        <f t="shared" si="180"/>
        <v>3351.7439999999997</v>
      </c>
      <c r="M540" s="114">
        <f>IFERROR(IF('Payroll 2020'!C540='Payroll 2020'!$A$3,IF('Income Statement 2020'!$N$22&gt;0,'Income Statement 2020'!$N$22*0.1*('Payroll 2020'!G540/SUMIF($C$533:$C$571,$A$3,$G$533:$G$571)),0),0),0)</f>
        <v>0</v>
      </c>
      <c r="N540" s="224">
        <f t="shared" si="181"/>
        <v>3351.7439999999997</v>
      </c>
    </row>
    <row r="541" spans="1:14" outlineLevel="1" x14ac:dyDescent="0.25">
      <c r="A541" s="104" t="s">
        <v>184</v>
      </c>
      <c r="B541" s="63">
        <v>9</v>
      </c>
      <c r="C541" s="105" t="s">
        <v>3</v>
      </c>
      <c r="D541" s="5" t="s">
        <v>487</v>
      </c>
      <c r="E541" s="308">
        <f t="shared" si="178"/>
        <v>18</v>
      </c>
      <c r="F541" s="45">
        <f t="shared" si="173"/>
        <v>184</v>
      </c>
      <c r="G541" s="303">
        <f t="shared" si="179"/>
        <v>3312</v>
      </c>
      <c r="H541" s="114">
        <f t="shared" si="174"/>
        <v>264.96000000000004</v>
      </c>
      <c r="I541" s="114">
        <f t="shared" si="175"/>
        <v>158.976</v>
      </c>
      <c r="J541" s="114">
        <f t="shared" si="176"/>
        <v>264.96000000000004</v>
      </c>
      <c r="K541" s="114">
        <f t="shared" si="177"/>
        <v>0</v>
      </c>
      <c r="L541" s="224">
        <f t="shared" si="180"/>
        <v>2623.1039999999998</v>
      </c>
      <c r="M541" s="114">
        <f>IFERROR(IF('Payroll 2020'!C541='Payroll 2020'!$A$3,IF('Income Statement 2020'!$N$22&gt;0,'Income Statement 2020'!$N$22*0.1*('Payroll 2020'!G541/SUMIF($C$533:$C$571,$A$3,$G$533:$G$571)),0),0),0)</f>
        <v>0</v>
      </c>
      <c r="N541" s="224">
        <f t="shared" si="181"/>
        <v>2623.1039999999998</v>
      </c>
    </row>
    <row r="542" spans="1:14" outlineLevel="1" x14ac:dyDescent="0.25">
      <c r="A542" s="104" t="s">
        <v>186</v>
      </c>
      <c r="B542" s="63">
        <v>10</v>
      </c>
      <c r="C542" s="105" t="s">
        <v>3</v>
      </c>
      <c r="D542" s="5" t="s">
        <v>486</v>
      </c>
      <c r="E542" s="308">
        <f t="shared" si="178"/>
        <v>23</v>
      </c>
      <c r="F542" s="45">
        <f t="shared" si="173"/>
        <v>184</v>
      </c>
      <c r="G542" s="303">
        <f t="shared" si="179"/>
        <v>4232</v>
      </c>
      <c r="H542" s="114">
        <f t="shared" si="174"/>
        <v>338.56000000000006</v>
      </c>
      <c r="I542" s="114">
        <f t="shared" si="175"/>
        <v>203.136</v>
      </c>
      <c r="J542" s="114">
        <f t="shared" si="176"/>
        <v>338.56000000000006</v>
      </c>
      <c r="K542" s="114">
        <f t="shared" si="177"/>
        <v>0</v>
      </c>
      <c r="L542" s="224">
        <f t="shared" si="180"/>
        <v>3351.7439999999997</v>
      </c>
      <c r="M542" s="114">
        <f>IFERROR(IF('Payroll 2020'!C542='Payroll 2020'!$A$3,IF('Income Statement 2020'!$N$22&gt;0,'Income Statement 2020'!$N$22*0.1*('Payroll 2020'!G542/SUMIF($C$533:$C$571,$A$3,$G$533:$G$571)),0),0),0)</f>
        <v>0</v>
      </c>
      <c r="N542" s="224">
        <f t="shared" si="181"/>
        <v>3351.7439999999997</v>
      </c>
    </row>
    <row r="543" spans="1:14" outlineLevel="1" x14ac:dyDescent="0.25">
      <c r="A543" s="104" t="s">
        <v>187</v>
      </c>
      <c r="B543" s="63">
        <v>11</v>
      </c>
      <c r="C543" s="105" t="s">
        <v>3</v>
      </c>
      <c r="D543" s="5" t="s">
        <v>486</v>
      </c>
      <c r="E543" s="308">
        <f t="shared" si="178"/>
        <v>40</v>
      </c>
      <c r="F543" s="45">
        <f t="shared" si="173"/>
        <v>184</v>
      </c>
      <c r="G543" s="224">
        <f t="shared" si="179"/>
        <v>7360</v>
      </c>
      <c r="H543" s="114">
        <f t="shared" si="174"/>
        <v>588.80000000000007</v>
      </c>
      <c r="I543" s="114">
        <f t="shared" si="175"/>
        <v>353.28000000000003</v>
      </c>
      <c r="J543" s="114">
        <f t="shared" si="176"/>
        <v>588.80000000000007</v>
      </c>
      <c r="K543" s="114">
        <f t="shared" si="177"/>
        <v>0</v>
      </c>
      <c r="L543" s="224">
        <f t="shared" si="180"/>
        <v>5829.12</v>
      </c>
      <c r="M543" s="114">
        <f>IFERROR(IF('Payroll 2020'!C543='Payroll 2020'!$A$3,IF('Income Statement 2020'!$N$22&gt;0,'Income Statement 2020'!$N$22*0.1*('Payroll 2020'!G543/SUMIF($C$533:$C$571,$A$3,$G$533:$G$571)),0),0),0)</f>
        <v>0</v>
      </c>
      <c r="N543" s="224">
        <f t="shared" si="181"/>
        <v>5829.12</v>
      </c>
    </row>
    <row r="544" spans="1:14" outlineLevel="1" x14ac:dyDescent="0.25">
      <c r="A544" s="104" t="s">
        <v>201</v>
      </c>
      <c r="B544" s="63">
        <v>12</v>
      </c>
      <c r="C544" s="105" t="s">
        <v>3</v>
      </c>
      <c r="D544" s="5" t="s">
        <v>486</v>
      </c>
      <c r="E544" s="308">
        <f t="shared" si="178"/>
        <v>40</v>
      </c>
      <c r="F544" s="45">
        <f t="shared" si="173"/>
        <v>184</v>
      </c>
      <c r="G544" s="224">
        <f t="shared" si="179"/>
        <v>7360</v>
      </c>
      <c r="H544" s="114">
        <f t="shared" si="174"/>
        <v>588.80000000000007</v>
      </c>
      <c r="I544" s="114">
        <f t="shared" si="175"/>
        <v>353.28000000000003</v>
      </c>
      <c r="J544" s="114">
        <f t="shared" si="176"/>
        <v>588.80000000000007</v>
      </c>
      <c r="K544" s="114">
        <f t="shared" si="177"/>
        <v>0</v>
      </c>
      <c r="L544" s="224">
        <f t="shared" si="180"/>
        <v>5829.12</v>
      </c>
      <c r="M544" s="114">
        <f>IFERROR(IF('Payroll 2020'!C544='Payroll 2020'!$A$3,IF('Income Statement 2020'!$N$22&gt;0,'Income Statement 2020'!$N$22*0.1*('Payroll 2020'!G544/SUMIF($C$533:$C$571,$A$3,$G$533:$G$571)),0),0),0)</f>
        <v>0</v>
      </c>
      <c r="N544" s="224">
        <f t="shared" si="181"/>
        <v>5829.12</v>
      </c>
    </row>
    <row r="545" spans="1:14" outlineLevel="1" x14ac:dyDescent="0.25">
      <c r="A545" s="104" t="s">
        <v>189</v>
      </c>
      <c r="B545" s="63">
        <v>13</v>
      </c>
      <c r="C545" s="105" t="s">
        <v>3</v>
      </c>
      <c r="D545" s="5" t="s">
        <v>486</v>
      </c>
      <c r="E545" s="308">
        <f t="shared" si="178"/>
        <v>30</v>
      </c>
      <c r="F545" s="45">
        <f t="shared" si="173"/>
        <v>184</v>
      </c>
      <c r="G545" s="224">
        <f t="shared" si="179"/>
        <v>5520</v>
      </c>
      <c r="H545" s="114">
        <f t="shared" si="174"/>
        <v>441.60000000000008</v>
      </c>
      <c r="I545" s="114">
        <f t="shared" si="175"/>
        <v>264.95999999999998</v>
      </c>
      <c r="J545" s="114">
        <f t="shared" si="176"/>
        <v>441.60000000000008</v>
      </c>
      <c r="K545" s="114">
        <f t="shared" si="177"/>
        <v>0</v>
      </c>
      <c r="L545" s="224">
        <f t="shared" si="180"/>
        <v>4371.84</v>
      </c>
      <c r="M545" s="114">
        <f>IFERROR(IF('Payroll 2020'!C545='Payroll 2020'!$A$3,IF('Income Statement 2020'!$N$22&gt;0,'Income Statement 2020'!$N$22*0.1*('Payroll 2020'!G545/SUMIF($C$533:$C$571,$A$3,$G$533:$G$571)),0),0),0)</f>
        <v>0</v>
      </c>
      <c r="N545" s="224">
        <f t="shared" si="181"/>
        <v>4371.84</v>
      </c>
    </row>
    <row r="546" spans="1:14" outlineLevel="1" x14ac:dyDescent="0.25">
      <c r="A546" s="104" t="s">
        <v>190</v>
      </c>
      <c r="B546" s="63">
        <v>14</v>
      </c>
      <c r="C546" s="105" t="s">
        <v>5</v>
      </c>
      <c r="D546" s="5" t="s">
        <v>487</v>
      </c>
      <c r="E546" s="308">
        <f t="shared" si="178"/>
        <v>7.5</v>
      </c>
      <c r="F546" s="45">
        <f>F545</f>
        <v>184</v>
      </c>
      <c r="G546" s="224">
        <f t="shared" si="179"/>
        <v>1380</v>
      </c>
      <c r="H546" s="114"/>
      <c r="I546" s="114"/>
      <c r="J546" s="114"/>
      <c r="K546" s="114"/>
      <c r="L546" s="224">
        <f t="shared" si="180"/>
        <v>1380</v>
      </c>
      <c r="M546" s="114">
        <f>IFERROR(IF('Payroll 2020'!C546='Payroll 2020'!$A$3,IF('Income Statement 2020'!$N$22&gt;0,'Income Statement 2020'!$N$22*0.1*('Payroll 2020'!G546/SUMIF($C$533:$C$571,$A$3,$G$533:$G$571)),0),0),0)</f>
        <v>0</v>
      </c>
      <c r="N546" s="224">
        <f t="shared" si="181"/>
        <v>1380</v>
      </c>
    </row>
    <row r="547" spans="1:14" outlineLevel="1" x14ac:dyDescent="0.25">
      <c r="A547" s="104" t="s">
        <v>191</v>
      </c>
      <c r="B547" s="63">
        <v>15</v>
      </c>
      <c r="C547" s="105" t="s">
        <v>5</v>
      </c>
      <c r="D547" s="5" t="s">
        <v>486</v>
      </c>
      <c r="E547" s="308">
        <f t="shared" si="178"/>
        <v>10</v>
      </c>
      <c r="F547" s="45">
        <f t="shared" ref="F547:F549" si="182">F546</f>
        <v>184</v>
      </c>
      <c r="G547" s="224">
        <f t="shared" si="179"/>
        <v>1840</v>
      </c>
      <c r="H547" s="114"/>
      <c r="I547" s="114"/>
      <c r="J547" s="114"/>
      <c r="K547" s="114"/>
      <c r="L547" s="224">
        <f t="shared" si="180"/>
        <v>1840</v>
      </c>
      <c r="M547" s="114">
        <f>IFERROR(IF('Payroll 2020'!C547='Payroll 2020'!$A$3,IF('Income Statement 2020'!$N$22&gt;0,'Income Statement 2020'!$N$22*0.1*('Payroll 2020'!G547/SUMIF($C$533:$C$571,$A$3,$G$533:$G$571)),0),0),0)</f>
        <v>0</v>
      </c>
      <c r="N547" s="224">
        <f t="shared" si="181"/>
        <v>1840</v>
      </c>
    </row>
    <row r="548" spans="1:14" outlineLevel="1" x14ac:dyDescent="0.25">
      <c r="A548" s="104" t="s">
        <v>211</v>
      </c>
      <c r="B548" s="63">
        <v>16</v>
      </c>
      <c r="C548" s="105" t="s">
        <v>5</v>
      </c>
      <c r="D548" s="5" t="s">
        <v>486</v>
      </c>
      <c r="E548" s="308">
        <f t="shared" si="178"/>
        <v>7.5</v>
      </c>
      <c r="F548" s="45">
        <f t="shared" si="182"/>
        <v>184</v>
      </c>
      <c r="G548" s="224">
        <f t="shared" si="179"/>
        <v>1380</v>
      </c>
      <c r="H548" s="114"/>
      <c r="I548" s="114"/>
      <c r="J548" s="114"/>
      <c r="K548" s="114"/>
      <c r="L548" s="224">
        <f t="shared" si="180"/>
        <v>1380</v>
      </c>
      <c r="M548" s="114">
        <f>IFERROR(IF('Payroll 2020'!C548='Payroll 2020'!$A$3,IF('Income Statement 2020'!$N$22&gt;0,'Income Statement 2020'!$N$22*0.1*('Payroll 2020'!G548/SUMIF($C$533:$C$571,$A$3,$G$533:$G$571)),0),0),0)</f>
        <v>0</v>
      </c>
      <c r="N548" s="224">
        <f t="shared" si="181"/>
        <v>1380</v>
      </c>
    </row>
    <row r="549" spans="1:14" outlineLevel="1" x14ac:dyDescent="0.25">
      <c r="A549" s="104" t="s">
        <v>440</v>
      </c>
      <c r="B549" s="63">
        <v>17</v>
      </c>
      <c r="C549" s="105" t="s">
        <v>5</v>
      </c>
      <c r="D549" s="5" t="s">
        <v>486</v>
      </c>
      <c r="E549" s="308">
        <f t="shared" si="178"/>
        <v>7.5</v>
      </c>
      <c r="F549" s="45">
        <f t="shared" si="182"/>
        <v>184</v>
      </c>
      <c r="G549" s="224">
        <f t="shared" si="179"/>
        <v>1380</v>
      </c>
      <c r="H549" s="114"/>
      <c r="I549" s="114"/>
      <c r="J549" s="114"/>
      <c r="K549" s="114"/>
      <c r="L549" s="224">
        <f t="shared" si="180"/>
        <v>1380</v>
      </c>
      <c r="M549" s="114">
        <f>IFERROR(IF('Payroll 2020'!C549='Payroll 2020'!$A$3,IF('Income Statement 2020'!$N$22&gt;0,'Income Statement 2020'!$N$22*0.1*('Payroll 2020'!G549/SUMIF($C$533:$C$571,$A$3,$G$533:$G$571)),0),0),0)</f>
        <v>0</v>
      </c>
      <c r="N549" s="224">
        <f t="shared" si="181"/>
        <v>1380</v>
      </c>
    </row>
    <row r="550" spans="1:14" outlineLevel="1" x14ac:dyDescent="0.25">
      <c r="A550" s="104" t="s">
        <v>193</v>
      </c>
      <c r="B550" s="63">
        <v>18</v>
      </c>
      <c r="C550" s="105" t="s">
        <v>3</v>
      </c>
      <c r="D550" s="5" t="s">
        <v>486</v>
      </c>
      <c r="E550" s="308">
        <f t="shared" si="178"/>
        <v>22</v>
      </c>
      <c r="F550" s="45">
        <f>IF(C550=$A$3,$C$3*NETWORKDAYS($C$530,$E$530),0)</f>
        <v>184</v>
      </c>
      <c r="G550" s="224">
        <f t="shared" si="179"/>
        <v>4048</v>
      </c>
      <c r="H550" s="114">
        <f>IFERROR(G550*$H$37,0)</f>
        <v>323.84000000000009</v>
      </c>
      <c r="I550" s="114">
        <f>IFERROR(G550*$I$37,0)</f>
        <v>194.304</v>
      </c>
      <c r="J550" s="114">
        <f>IF(C550=$A$3,G550*$J$37,0)</f>
        <v>323.84000000000009</v>
      </c>
      <c r="K550" s="114">
        <f>IF(C550=$A$3,G550*$K$37,0)</f>
        <v>0</v>
      </c>
      <c r="L550" s="224">
        <f t="shared" si="180"/>
        <v>3206.0159999999996</v>
      </c>
      <c r="M550" s="114">
        <f>IFERROR(IF('Payroll 2020'!C550='Payroll 2020'!$A$3,IF('Income Statement 2020'!$N$22&gt;0,'Income Statement 2020'!$N$22*0.1*('Payroll 2020'!G550/SUMIF($C$533:$C$571,$A$3,$G$533:$G$571)),0),0),0)</f>
        <v>0</v>
      </c>
      <c r="N550" s="224">
        <f t="shared" si="181"/>
        <v>3206.0159999999996</v>
      </c>
    </row>
    <row r="551" spans="1:14" outlineLevel="1" x14ac:dyDescent="0.25">
      <c r="A551" s="104" t="s">
        <v>194</v>
      </c>
      <c r="B551" s="63">
        <v>19</v>
      </c>
      <c r="C551" s="105" t="s">
        <v>3</v>
      </c>
      <c r="D551" s="5" t="s">
        <v>486</v>
      </c>
      <c r="E551" s="308">
        <f t="shared" si="178"/>
        <v>25</v>
      </c>
      <c r="F551" s="45">
        <f>IF(C551=$A$3,$C$3*NETWORKDAYS($C$530,$E$530),0)</f>
        <v>184</v>
      </c>
      <c r="G551" s="224">
        <f t="shared" si="179"/>
        <v>4600</v>
      </c>
      <c r="H551" s="114">
        <f>IFERROR(G551*$H$37,0)</f>
        <v>368.00000000000006</v>
      </c>
      <c r="I551" s="114">
        <f>IFERROR(G551*$I$37,0)</f>
        <v>220.8</v>
      </c>
      <c r="J551" s="114">
        <f>IF(C551=$A$3,G551*$J$37,0)</f>
        <v>368.00000000000006</v>
      </c>
      <c r="K551" s="114">
        <f>IF(C551=$A$3,G551*$K$37,0)</f>
        <v>0</v>
      </c>
      <c r="L551" s="224">
        <f t="shared" si="180"/>
        <v>3643.2</v>
      </c>
      <c r="M551" s="114">
        <f>IFERROR(IF('Payroll 2020'!C551='Payroll 2020'!$A$3,IF('Income Statement 2020'!$N$22&gt;0,'Income Statement 2020'!$N$22*0.1*('Payroll 2020'!G551/SUMIF($C$533:$C$571,$A$3,$G$533:$G$571)),0),0),0)</f>
        <v>0</v>
      </c>
      <c r="N551" s="224">
        <f t="shared" si="181"/>
        <v>3643.2</v>
      </c>
    </row>
    <row r="552" spans="1:14" outlineLevel="1" x14ac:dyDescent="0.25">
      <c r="A552" s="104" t="s">
        <v>202</v>
      </c>
      <c r="B552" s="63">
        <v>20</v>
      </c>
      <c r="C552" s="105" t="s">
        <v>3</v>
      </c>
      <c r="D552" s="5" t="s">
        <v>486</v>
      </c>
      <c r="E552" s="308">
        <f t="shared" si="178"/>
        <v>20</v>
      </c>
      <c r="F552" s="45">
        <f>IF(C552=$A$3,$C$3*NETWORKDAYS($C$530,$E$530),0)</f>
        <v>184</v>
      </c>
      <c r="G552" s="224">
        <f t="shared" si="179"/>
        <v>3680</v>
      </c>
      <c r="H552" s="114">
        <f>IFERROR(G552*$H$37,0)</f>
        <v>294.40000000000003</v>
      </c>
      <c r="I552" s="114">
        <f>IFERROR(G552*$I$37,0)</f>
        <v>176.64000000000001</v>
      </c>
      <c r="J552" s="114">
        <f>IF(C552=$A$3,G552*$J$37,0)</f>
        <v>294.40000000000003</v>
      </c>
      <c r="K552" s="114">
        <f>IF(C552=$A$3,G552*$K$37,0)</f>
        <v>0</v>
      </c>
      <c r="L552" s="224">
        <f t="shared" si="180"/>
        <v>2914.56</v>
      </c>
      <c r="M552" s="114">
        <f>IFERROR(IF('Payroll 2020'!C552='Payroll 2020'!$A$3,IF('Income Statement 2020'!$N$22&gt;0,'Income Statement 2020'!$N$22*0.1*('Payroll 2020'!G552/SUMIF($C$533:$C$571,$A$3,$G$533:$G$571)),0),0),0)</f>
        <v>0</v>
      </c>
      <c r="N552" s="224">
        <f t="shared" si="181"/>
        <v>2914.56</v>
      </c>
    </row>
    <row r="553" spans="1:14" outlineLevel="1" x14ac:dyDescent="0.25">
      <c r="A553" s="104" t="s">
        <v>195</v>
      </c>
      <c r="B553" s="63">
        <v>21</v>
      </c>
      <c r="C553" s="105" t="s">
        <v>5</v>
      </c>
      <c r="D553" s="5" t="s">
        <v>487</v>
      </c>
      <c r="E553" s="308">
        <f t="shared" si="178"/>
        <v>7.5</v>
      </c>
      <c r="F553" s="45">
        <f>F552</f>
        <v>184</v>
      </c>
      <c r="G553" s="224">
        <f t="shared" si="179"/>
        <v>1380</v>
      </c>
      <c r="H553" s="114"/>
      <c r="I553" s="114"/>
      <c r="J553" s="114"/>
      <c r="K553" s="114"/>
      <c r="L553" s="224">
        <f t="shared" si="180"/>
        <v>1380</v>
      </c>
      <c r="M553" s="114">
        <f>IFERROR(IF('Payroll 2020'!C553='Payroll 2020'!$A$3,IF('Income Statement 2020'!$N$22&gt;0,'Income Statement 2020'!$N$22*0.1*('Payroll 2020'!G553/SUMIF($C$533:$C$571,$A$3,$G$533:$G$571)),0),0),0)</f>
        <v>0</v>
      </c>
      <c r="N553" s="224">
        <f t="shared" si="181"/>
        <v>1380</v>
      </c>
    </row>
    <row r="554" spans="1:14" outlineLevel="1" x14ac:dyDescent="0.25">
      <c r="A554" s="104" t="s">
        <v>197</v>
      </c>
      <c r="B554" s="63">
        <v>22</v>
      </c>
      <c r="C554" s="105" t="s">
        <v>5</v>
      </c>
      <c r="D554" s="5" t="s">
        <v>486</v>
      </c>
      <c r="E554" s="308">
        <f t="shared" si="178"/>
        <v>10</v>
      </c>
      <c r="F554" s="45">
        <f t="shared" ref="F554:F558" si="183">F553</f>
        <v>184</v>
      </c>
      <c r="G554" s="224">
        <f t="shared" si="179"/>
        <v>1840</v>
      </c>
      <c r="H554" s="114"/>
      <c r="I554" s="114"/>
      <c r="J554" s="114"/>
      <c r="K554" s="114"/>
      <c r="L554" s="224">
        <f t="shared" si="180"/>
        <v>1840</v>
      </c>
      <c r="M554" s="114">
        <f>IFERROR(IF('Payroll 2020'!C554='Payroll 2020'!$A$3,IF('Income Statement 2020'!$N$22&gt;0,'Income Statement 2020'!$N$22*0.1*('Payroll 2020'!G554/SUMIF($C$533:$C$571,$A$3,$G$533:$G$571)),0),0),0)</f>
        <v>0</v>
      </c>
      <c r="N554" s="224">
        <f t="shared" si="181"/>
        <v>1840</v>
      </c>
    </row>
    <row r="555" spans="1:14" outlineLevel="1" x14ac:dyDescent="0.25">
      <c r="A555" s="104" t="s">
        <v>205</v>
      </c>
      <c r="B555" s="63">
        <v>23</v>
      </c>
      <c r="C555" s="105" t="s">
        <v>5</v>
      </c>
      <c r="D555" s="5" t="s">
        <v>486</v>
      </c>
      <c r="E555" s="308">
        <f t="shared" si="178"/>
        <v>7.5</v>
      </c>
      <c r="F555" s="45">
        <f t="shared" si="183"/>
        <v>184</v>
      </c>
      <c r="G555" s="224">
        <f t="shared" si="179"/>
        <v>1380</v>
      </c>
      <c r="H555" s="114"/>
      <c r="I555" s="114"/>
      <c r="J555" s="114"/>
      <c r="K555" s="114"/>
      <c r="L555" s="224">
        <f t="shared" si="180"/>
        <v>1380</v>
      </c>
      <c r="M555" s="114">
        <f>IFERROR(IF('Payroll 2020'!C555='Payroll 2020'!$A$3,IF('Income Statement 2020'!$N$22&gt;0,'Income Statement 2020'!$N$22*0.1*('Payroll 2020'!G555/SUMIF($C$533:$C$571,$A$3,$G$533:$G$571)),0),0),0)</f>
        <v>0</v>
      </c>
      <c r="N555" s="224">
        <f t="shared" si="181"/>
        <v>1380</v>
      </c>
    </row>
    <row r="556" spans="1:14" outlineLevel="1" x14ac:dyDescent="0.25">
      <c r="A556" s="104" t="s">
        <v>204</v>
      </c>
      <c r="B556" s="63">
        <v>24</v>
      </c>
      <c r="C556" s="105" t="s">
        <v>5</v>
      </c>
      <c r="D556" s="5" t="s">
        <v>486</v>
      </c>
      <c r="E556" s="308">
        <f t="shared" si="178"/>
        <v>7.5</v>
      </c>
      <c r="F556" s="45">
        <f t="shared" si="183"/>
        <v>184</v>
      </c>
      <c r="G556" s="224">
        <f t="shared" si="179"/>
        <v>1380</v>
      </c>
      <c r="H556" s="114"/>
      <c r="I556" s="114"/>
      <c r="J556" s="114"/>
      <c r="K556" s="114"/>
      <c r="L556" s="224">
        <f t="shared" si="180"/>
        <v>1380</v>
      </c>
      <c r="M556" s="114">
        <f>IFERROR(IF('Payroll 2020'!C556='Payroll 2020'!$A$3,IF('Income Statement 2020'!$N$22&gt;0,'Income Statement 2020'!$N$22*0.1*('Payroll 2020'!G556/SUMIF($C$533:$C$571,$A$3,$G$533:$G$571)),0),0),0)</f>
        <v>0</v>
      </c>
      <c r="N556" s="224">
        <f t="shared" si="181"/>
        <v>1380</v>
      </c>
    </row>
    <row r="557" spans="1:14" outlineLevel="1" x14ac:dyDescent="0.25">
      <c r="A557" s="104" t="s">
        <v>207</v>
      </c>
      <c r="B557" s="63">
        <v>25</v>
      </c>
      <c r="C557" s="105" t="s">
        <v>5</v>
      </c>
      <c r="D557" s="5" t="s">
        <v>486</v>
      </c>
      <c r="E557" s="308">
        <f t="shared" si="178"/>
        <v>7.5</v>
      </c>
      <c r="F557" s="45">
        <f t="shared" si="183"/>
        <v>184</v>
      </c>
      <c r="G557" s="224">
        <f t="shared" si="179"/>
        <v>1380</v>
      </c>
      <c r="H557" s="114"/>
      <c r="I557" s="114"/>
      <c r="J557" s="114"/>
      <c r="K557" s="114"/>
      <c r="L557" s="224">
        <f t="shared" si="180"/>
        <v>1380</v>
      </c>
      <c r="M557" s="114">
        <f>IFERROR(IF('Payroll 2020'!C557='Payroll 2020'!$A$3,IF('Income Statement 2020'!$N$22&gt;0,'Income Statement 2020'!$N$22*0.1*('Payroll 2020'!G557/SUMIF($C$533:$C$571,$A$3,$G$533:$G$571)),0),0),0)</f>
        <v>0</v>
      </c>
      <c r="N557" s="224">
        <f t="shared" si="181"/>
        <v>1380</v>
      </c>
    </row>
    <row r="558" spans="1:14" outlineLevel="1" x14ac:dyDescent="0.25">
      <c r="A558" s="104" t="s">
        <v>206</v>
      </c>
      <c r="B558" s="63">
        <v>26</v>
      </c>
      <c r="C558" s="105" t="s">
        <v>5</v>
      </c>
      <c r="D558" s="5" t="s">
        <v>486</v>
      </c>
      <c r="E558" s="308">
        <f t="shared" si="178"/>
        <v>7.5</v>
      </c>
      <c r="F558" s="45">
        <f t="shared" si="183"/>
        <v>184</v>
      </c>
      <c r="G558" s="224">
        <f t="shared" si="179"/>
        <v>1380</v>
      </c>
      <c r="H558" s="114"/>
      <c r="I558" s="114"/>
      <c r="J558" s="114"/>
      <c r="K558" s="114"/>
      <c r="L558" s="224">
        <f t="shared" si="180"/>
        <v>1380</v>
      </c>
      <c r="M558" s="114">
        <f>IFERROR(IF('Payroll 2020'!C558='Payroll 2020'!$A$3,IF('Income Statement 2020'!$N$22&gt;0,'Income Statement 2020'!$N$22*0.1*('Payroll 2020'!G558/SUMIF($C$533:$C$571,$A$3,$G$533:$G$571)),0),0),0)</f>
        <v>0</v>
      </c>
      <c r="N558" s="224">
        <f t="shared" si="181"/>
        <v>1380</v>
      </c>
    </row>
    <row r="559" spans="1:14" outlineLevel="1" x14ac:dyDescent="0.25">
      <c r="A559" s="18" t="s">
        <v>245</v>
      </c>
      <c r="B559" s="63">
        <v>27</v>
      </c>
      <c r="C559" s="5" t="s">
        <v>3</v>
      </c>
      <c r="D559" s="5" t="s">
        <v>485</v>
      </c>
      <c r="E559" s="308">
        <f t="shared" si="178"/>
        <v>30</v>
      </c>
      <c r="F559" s="45">
        <f t="shared" ref="F559:F571" si="184">IF(C559=$A$3,$C$3*NETWORKDAYS($C$530,$E$530),0)</f>
        <v>184</v>
      </c>
      <c r="G559" s="224">
        <f t="shared" si="179"/>
        <v>5520</v>
      </c>
      <c r="H559" s="114">
        <f t="shared" ref="H559:H571" si="185">IFERROR(G559*$H$37,0)</f>
        <v>441.60000000000008</v>
      </c>
      <c r="I559" s="114">
        <f t="shared" ref="I559:I571" si="186">IFERROR(G559*$I$37,0)</f>
        <v>264.95999999999998</v>
      </c>
      <c r="J559" s="114">
        <f t="shared" ref="J559:J571" si="187">IF(C559=$A$3,G559*$J$37,0)</f>
        <v>441.60000000000008</v>
      </c>
      <c r="K559" s="114">
        <f t="shared" ref="K559:K571" si="188">IF(C559=$A$3,G559*$K$37,0)</f>
        <v>0</v>
      </c>
      <c r="L559" s="224">
        <f t="shared" si="180"/>
        <v>4371.84</v>
      </c>
      <c r="M559" s="114">
        <f>IFERROR(IF('Payroll 2020'!C559='Payroll 2020'!$A$3,IF('Income Statement 2020'!$N$22&gt;0,'Income Statement 2020'!$N$22*0.1*('Payroll 2020'!G559/SUMIF($C$533:$C$571,$A$3,$G$533:$G$571)),0),0),0)</f>
        <v>0</v>
      </c>
      <c r="N559" s="224">
        <f t="shared" si="181"/>
        <v>4371.84</v>
      </c>
    </row>
    <row r="560" spans="1:14" outlineLevel="1" x14ac:dyDescent="0.25">
      <c r="A560" s="18" t="s">
        <v>230</v>
      </c>
      <c r="B560" s="63">
        <v>28</v>
      </c>
      <c r="C560" s="5" t="s">
        <v>3</v>
      </c>
      <c r="D560" s="5" t="s">
        <v>485</v>
      </c>
      <c r="E560" s="308">
        <f t="shared" si="178"/>
        <v>23</v>
      </c>
      <c r="F560" s="45">
        <f t="shared" si="184"/>
        <v>184</v>
      </c>
      <c r="G560" s="224">
        <f t="shared" si="179"/>
        <v>4232</v>
      </c>
      <c r="H560" s="114">
        <f t="shared" si="185"/>
        <v>338.56000000000006</v>
      </c>
      <c r="I560" s="114">
        <f t="shared" si="186"/>
        <v>203.136</v>
      </c>
      <c r="J560" s="114">
        <f t="shared" si="187"/>
        <v>338.56000000000006</v>
      </c>
      <c r="K560" s="114">
        <f t="shared" si="188"/>
        <v>0</v>
      </c>
      <c r="L560" s="224">
        <f t="shared" si="180"/>
        <v>3351.7439999999997</v>
      </c>
      <c r="M560" s="114">
        <f>IFERROR(IF('Payroll 2020'!C560='Payroll 2020'!$A$3,IF('Income Statement 2020'!$N$22&gt;0,'Income Statement 2020'!$N$22*0.1*('Payroll 2020'!G560/SUMIF($C$533:$C$571,$A$3,$G$533:$G$571)),0),0),0)</f>
        <v>0</v>
      </c>
      <c r="N560" s="224">
        <f t="shared" si="181"/>
        <v>3351.7439999999997</v>
      </c>
    </row>
    <row r="561" spans="1:14" outlineLevel="1" x14ac:dyDescent="0.25">
      <c r="A561" s="18" t="s">
        <v>231</v>
      </c>
      <c r="B561" s="63">
        <v>29</v>
      </c>
      <c r="C561" s="5" t="s">
        <v>3</v>
      </c>
      <c r="D561" s="5" t="s">
        <v>485</v>
      </c>
      <c r="E561" s="308">
        <f t="shared" si="178"/>
        <v>17</v>
      </c>
      <c r="F561" s="45">
        <f t="shared" si="184"/>
        <v>184</v>
      </c>
      <c r="G561" s="224">
        <f t="shared" si="179"/>
        <v>3128</v>
      </c>
      <c r="H561" s="114">
        <f t="shared" si="185"/>
        <v>250.24000000000004</v>
      </c>
      <c r="I561" s="114">
        <f t="shared" si="186"/>
        <v>150.14400000000001</v>
      </c>
      <c r="J561" s="114">
        <f t="shared" si="187"/>
        <v>250.24000000000004</v>
      </c>
      <c r="K561" s="114">
        <f t="shared" si="188"/>
        <v>0</v>
      </c>
      <c r="L561" s="224">
        <f t="shared" si="180"/>
        <v>2477.3760000000002</v>
      </c>
      <c r="M561" s="114">
        <f>IFERROR(IF('Payroll 2020'!C561='Payroll 2020'!$A$3,IF('Income Statement 2020'!$N$22&gt;0,'Income Statement 2020'!$N$22*0.1*('Payroll 2020'!G561/SUMIF($C$533:$C$571,$A$3,$G$533:$G$571)),0),0),0)</f>
        <v>0</v>
      </c>
      <c r="N561" s="224">
        <f t="shared" si="181"/>
        <v>2477.3760000000002</v>
      </c>
    </row>
    <row r="562" spans="1:14" outlineLevel="1" x14ac:dyDescent="0.25">
      <c r="A562" s="18" t="s">
        <v>231</v>
      </c>
      <c r="B562" s="63">
        <v>30</v>
      </c>
      <c r="C562" s="5" t="s">
        <v>3</v>
      </c>
      <c r="D562" s="5" t="s">
        <v>485</v>
      </c>
      <c r="E562" s="308">
        <f t="shared" si="178"/>
        <v>17</v>
      </c>
      <c r="F562" s="45">
        <f t="shared" si="184"/>
        <v>184</v>
      </c>
      <c r="G562" s="224">
        <f t="shared" si="179"/>
        <v>3128</v>
      </c>
      <c r="H562" s="114">
        <f t="shared" si="185"/>
        <v>250.24000000000004</v>
      </c>
      <c r="I562" s="114">
        <f t="shared" si="186"/>
        <v>150.14400000000001</v>
      </c>
      <c r="J562" s="114">
        <f t="shared" si="187"/>
        <v>250.24000000000004</v>
      </c>
      <c r="K562" s="114">
        <f t="shared" si="188"/>
        <v>0</v>
      </c>
      <c r="L562" s="224">
        <f t="shared" si="180"/>
        <v>2477.3760000000002</v>
      </c>
      <c r="M562" s="114">
        <f>IFERROR(IF('Payroll 2020'!C562='Payroll 2020'!$A$3,IF('Income Statement 2020'!$N$22&gt;0,'Income Statement 2020'!$N$22*0.1*('Payroll 2020'!G562/SUMIF($C$533:$C$571,$A$3,$G$533:$G$571)),0),0),0)</f>
        <v>0</v>
      </c>
      <c r="N562" s="224">
        <f t="shared" si="181"/>
        <v>2477.3760000000002</v>
      </c>
    </row>
    <row r="563" spans="1:14" outlineLevel="1" x14ac:dyDescent="0.25">
      <c r="A563" s="18" t="s">
        <v>230</v>
      </c>
      <c r="B563" s="63">
        <v>31</v>
      </c>
      <c r="C563" s="5" t="s">
        <v>3</v>
      </c>
      <c r="D563" s="5" t="s">
        <v>485</v>
      </c>
      <c r="E563" s="308">
        <f t="shared" si="178"/>
        <v>23</v>
      </c>
      <c r="F563" s="45">
        <f t="shared" si="184"/>
        <v>184</v>
      </c>
      <c r="G563" s="224">
        <f t="shared" si="179"/>
        <v>4232</v>
      </c>
      <c r="H563" s="114">
        <f t="shared" si="185"/>
        <v>338.56000000000006</v>
      </c>
      <c r="I563" s="114">
        <f t="shared" si="186"/>
        <v>203.136</v>
      </c>
      <c r="J563" s="114">
        <f t="shared" si="187"/>
        <v>338.56000000000006</v>
      </c>
      <c r="K563" s="114">
        <f t="shared" si="188"/>
        <v>0</v>
      </c>
      <c r="L563" s="224">
        <f t="shared" si="180"/>
        <v>3351.7439999999997</v>
      </c>
      <c r="M563" s="114">
        <f>IFERROR(IF('Payroll 2020'!C563='Payroll 2020'!$A$3,IF('Income Statement 2020'!$N$22&gt;0,'Income Statement 2020'!$N$22*0.1*('Payroll 2020'!G563/SUMIF($C$533:$C$571,$A$3,$G$533:$G$571)),0),0),0)</f>
        <v>0</v>
      </c>
      <c r="N563" s="224">
        <f t="shared" si="181"/>
        <v>3351.7439999999997</v>
      </c>
    </row>
    <row r="564" spans="1:14" outlineLevel="1" x14ac:dyDescent="0.25">
      <c r="A564" s="18" t="s">
        <v>231</v>
      </c>
      <c r="B564" s="63">
        <v>32</v>
      </c>
      <c r="C564" s="5" t="s">
        <v>3</v>
      </c>
      <c r="D564" s="5" t="s">
        <v>485</v>
      </c>
      <c r="E564" s="308">
        <f t="shared" si="178"/>
        <v>17</v>
      </c>
      <c r="F564" s="45">
        <f t="shared" si="184"/>
        <v>184</v>
      </c>
      <c r="G564" s="224">
        <f t="shared" si="179"/>
        <v>3128</v>
      </c>
      <c r="H564" s="114">
        <f t="shared" si="185"/>
        <v>250.24000000000004</v>
      </c>
      <c r="I564" s="114">
        <f t="shared" si="186"/>
        <v>150.14400000000001</v>
      </c>
      <c r="J564" s="114">
        <f t="shared" si="187"/>
        <v>250.24000000000004</v>
      </c>
      <c r="K564" s="114">
        <f t="shared" si="188"/>
        <v>0</v>
      </c>
      <c r="L564" s="224">
        <f t="shared" si="180"/>
        <v>2477.3760000000002</v>
      </c>
      <c r="M564" s="114">
        <f>IFERROR(IF('Payroll 2020'!C564='Payroll 2020'!$A$3,IF('Income Statement 2020'!$N$22&gt;0,'Income Statement 2020'!$N$22*0.1*('Payroll 2020'!G564/SUMIF($C$533:$C$571,$A$3,$G$533:$G$571)),0),0),0)</f>
        <v>0</v>
      </c>
      <c r="N564" s="224">
        <f t="shared" si="181"/>
        <v>2477.3760000000002</v>
      </c>
    </row>
    <row r="565" spans="1:14" outlineLevel="1" x14ac:dyDescent="0.25">
      <c r="A565" s="18" t="s">
        <v>231</v>
      </c>
      <c r="B565" s="63">
        <v>33</v>
      </c>
      <c r="C565" s="5" t="s">
        <v>3</v>
      </c>
      <c r="D565" s="5" t="s">
        <v>485</v>
      </c>
      <c r="E565" s="308">
        <f t="shared" si="178"/>
        <v>17</v>
      </c>
      <c r="F565" s="45">
        <f t="shared" si="184"/>
        <v>184</v>
      </c>
      <c r="G565" s="224">
        <f t="shared" si="179"/>
        <v>3128</v>
      </c>
      <c r="H565" s="114">
        <f t="shared" si="185"/>
        <v>250.24000000000004</v>
      </c>
      <c r="I565" s="114">
        <f t="shared" si="186"/>
        <v>150.14400000000001</v>
      </c>
      <c r="J565" s="114">
        <f t="shared" si="187"/>
        <v>250.24000000000004</v>
      </c>
      <c r="K565" s="114">
        <f t="shared" si="188"/>
        <v>0</v>
      </c>
      <c r="L565" s="224">
        <f t="shared" si="180"/>
        <v>2477.3760000000002</v>
      </c>
      <c r="M565" s="114">
        <f>IFERROR(IF('Payroll 2020'!C565='Payroll 2020'!$A$3,IF('Income Statement 2020'!$N$22&gt;0,'Income Statement 2020'!$N$22*0.1*('Payroll 2020'!G565/SUMIF($C$533:$C$571,$A$3,$G$533:$G$571)),0),0),0)</f>
        <v>0</v>
      </c>
      <c r="N565" s="224">
        <f t="shared" si="181"/>
        <v>2477.3760000000002</v>
      </c>
    </row>
    <row r="566" spans="1:14" outlineLevel="1" x14ac:dyDescent="0.25">
      <c r="A566" s="18" t="s">
        <v>231</v>
      </c>
      <c r="B566" s="63">
        <v>34</v>
      </c>
      <c r="C566" s="5" t="s">
        <v>3</v>
      </c>
      <c r="D566" s="5" t="s">
        <v>485</v>
      </c>
      <c r="E566" s="308">
        <f t="shared" si="178"/>
        <v>17</v>
      </c>
      <c r="F566" s="45">
        <f t="shared" si="184"/>
        <v>184</v>
      </c>
      <c r="G566" s="224">
        <f t="shared" si="179"/>
        <v>3128</v>
      </c>
      <c r="H566" s="114">
        <f t="shared" si="185"/>
        <v>250.24000000000004</v>
      </c>
      <c r="I566" s="114">
        <f t="shared" si="186"/>
        <v>150.14400000000001</v>
      </c>
      <c r="J566" s="114">
        <f t="shared" si="187"/>
        <v>250.24000000000004</v>
      </c>
      <c r="K566" s="114">
        <f t="shared" si="188"/>
        <v>0</v>
      </c>
      <c r="L566" s="224">
        <f t="shared" si="180"/>
        <v>2477.3760000000002</v>
      </c>
      <c r="M566" s="114">
        <f>IFERROR(IF('Payroll 2020'!C566='Payroll 2020'!$A$3,IF('Income Statement 2020'!$N$22&gt;0,'Income Statement 2020'!$N$22*0.1*('Payroll 2020'!G566/SUMIF($C$533:$C$571,$A$3,$G$533:$G$571)),0),0),0)</f>
        <v>0</v>
      </c>
      <c r="N566" s="224">
        <f t="shared" si="181"/>
        <v>2477.3760000000002</v>
      </c>
    </row>
    <row r="567" spans="1:14" outlineLevel="1" x14ac:dyDescent="0.25">
      <c r="A567" s="18" t="s">
        <v>230</v>
      </c>
      <c r="B567" s="63">
        <v>35</v>
      </c>
      <c r="C567" s="5" t="s">
        <v>3</v>
      </c>
      <c r="D567" s="5" t="s">
        <v>485</v>
      </c>
      <c r="E567" s="308">
        <f t="shared" si="178"/>
        <v>23</v>
      </c>
      <c r="F567" s="45">
        <f t="shared" si="184"/>
        <v>184</v>
      </c>
      <c r="G567" s="224">
        <f t="shared" si="179"/>
        <v>4232</v>
      </c>
      <c r="H567" s="114">
        <f t="shared" si="185"/>
        <v>338.56000000000006</v>
      </c>
      <c r="I567" s="114">
        <f t="shared" si="186"/>
        <v>203.136</v>
      </c>
      <c r="J567" s="114">
        <f t="shared" si="187"/>
        <v>338.56000000000006</v>
      </c>
      <c r="K567" s="114">
        <f t="shared" si="188"/>
        <v>0</v>
      </c>
      <c r="L567" s="224">
        <f t="shared" si="180"/>
        <v>3351.7439999999997</v>
      </c>
      <c r="M567" s="114">
        <f>IFERROR(IF('Payroll 2020'!C567='Payroll 2020'!$A$3,IF('Income Statement 2020'!$N$22&gt;0,'Income Statement 2020'!$N$22*0.1*('Payroll 2020'!G567/SUMIF($C$533:$C$571,$A$3,$G$533:$G$571)),0),0),0)</f>
        <v>0</v>
      </c>
      <c r="N567" s="224">
        <f t="shared" si="181"/>
        <v>3351.7439999999997</v>
      </c>
    </row>
    <row r="568" spans="1:14" outlineLevel="1" x14ac:dyDescent="0.25">
      <c r="A568" s="18" t="s">
        <v>231</v>
      </c>
      <c r="B568" s="63">
        <v>36</v>
      </c>
      <c r="C568" s="5" t="s">
        <v>3</v>
      </c>
      <c r="D568" s="5" t="s">
        <v>485</v>
      </c>
      <c r="E568" s="308">
        <f t="shared" si="178"/>
        <v>17</v>
      </c>
      <c r="F568" s="45">
        <f t="shared" si="184"/>
        <v>184</v>
      </c>
      <c r="G568" s="224">
        <f t="shared" si="179"/>
        <v>3128</v>
      </c>
      <c r="H568" s="114">
        <f t="shared" si="185"/>
        <v>250.24000000000004</v>
      </c>
      <c r="I568" s="114">
        <f t="shared" si="186"/>
        <v>150.14400000000001</v>
      </c>
      <c r="J568" s="114">
        <f t="shared" si="187"/>
        <v>250.24000000000004</v>
      </c>
      <c r="K568" s="114">
        <f t="shared" si="188"/>
        <v>0</v>
      </c>
      <c r="L568" s="224">
        <f t="shared" si="180"/>
        <v>2477.3760000000002</v>
      </c>
      <c r="M568" s="114">
        <f>IFERROR(IF('Payroll 2020'!C568='Payroll 2020'!$A$3,IF('Income Statement 2020'!$N$22&gt;0,'Income Statement 2020'!$N$22*0.1*('Payroll 2020'!G568/SUMIF($C$533:$C$571,$A$3,$G$533:$G$571)),0),0),0)</f>
        <v>0</v>
      </c>
      <c r="N568" s="224">
        <f t="shared" si="181"/>
        <v>2477.3760000000002</v>
      </c>
    </row>
    <row r="569" spans="1:14" outlineLevel="1" x14ac:dyDescent="0.25">
      <c r="A569" s="18" t="s">
        <v>569</v>
      </c>
      <c r="B569" s="63">
        <v>37</v>
      </c>
      <c r="C569" s="1" t="s">
        <v>3</v>
      </c>
      <c r="D569" s="5" t="s">
        <v>488</v>
      </c>
      <c r="E569" s="308">
        <f t="shared" si="178"/>
        <v>35</v>
      </c>
      <c r="F569" s="45">
        <f t="shared" si="184"/>
        <v>184</v>
      </c>
      <c r="G569" s="224">
        <f t="shared" si="179"/>
        <v>6440</v>
      </c>
      <c r="H569" s="114">
        <f t="shared" si="185"/>
        <v>515.20000000000005</v>
      </c>
      <c r="I569" s="114">
        <f t="shared" si="186"/>
        <v>309.12</v>
      </c>
      <c r="J569" s="114">
        <f t="shared" si="187"/>
        <v>515.20000000000005</v>
      </c>
      <c r="K569" s="114">
        <f t="shared" si="188"/>
        <v>0</v>
      </c>
      <c r="L569" s="224">
        <f t="shared" si="180"/>
        <v>5100.4799999999996</v>
      </c>
      <c r="M569" s="114">
        <f>IFERROR(IF('Payroll 2020'!C569='Payroll 2020'!$A$3,IF('Income Statement 2020'!$N$22&gt;0,'Income Statement 2020'!$N$22*0.1*('Payroll 2020'!G569/SUMIF($C$533:$C$571,$A$3,$G$533:$G$571)),0),0),0)</f>
        <v>0</v>
      </c>
      <c r="N569" s="224">
        <f t="shared" si="181"/>
        <v>5100.4799999999996</v>
      </c>
    </row>
    <row r="570" spans="1:14" outlineLevel="1" x14ac:dyDescent="0.25">
      <c r="A570" s="18" t="s">
        <v>570</v>
      </c>
      <c r="B570" s="63">
        <v>38</v>
      </c>
      <c r="C570" s="1" t="s">
        <v>3</v>
      </c>
      <c r="D570" s="5" t="s">
        <v>488</v>
      </c>
      <c r="E570" s="308">
        <f t="shared" si="178"/>
        <v>23</v>
      </c>
      <c r="F570" s="45">
        <f t="shared" si="184"/>
        <v>184</v>
      </c>
      <c r="G570" s="224">
        <f t="shared" si="179"/>
        <v>4232</v>
      </c>
      <c r="H570" s="114">
        <f t="shared" si="185"/>
        <v>338.56000000000006</v>
      </c>
      <c r="I570" s="114">
        <f t="shared" si="186"/>
        <v>203.136</v>
      </c>
      <c r="J570" s="114">
        <f t="shared" si="187"/>
        <v>338.56000000000006</v>
      </c>
      <c r="K570" s="114">
        <f t="shared" si="188"/>
        <v>0</v>
      </c>
      <c r="L570" s="224">
        <f t="shared" si="180"/>
        <v>3351.7439999999997</v>
      </c>
      <c r="M570" s="114">
        <f>IFERROR(IF('Payroll 2020'!C570='Payroll 2020'!$A$3,IF('Income Statement 2020'!$N$22&gt;0,'Income Statement 2020'!$N$22*0.1*('Payroll 2020'!G570/SUMIF($C$533:$C$571,$A$3,$G$533:$G$571)),0),0),0)</f>
        <v>0</v>
      </c>
      <c r="N570" s="224">
        <f t="shared" si="181"/>
        <v>3351.7439999999997</v>
      </c>
    </row>
    <row r="571" spans="1:14" ht="17" outlineLevel="1" thickBot="1" x14ac:dyDescent="0.3">
      <c r="A571" s="19"/>
      <c r="B571" s="126">
        <v>39</v>
      </c>
      <c r="C571" s="16"/>
      <c r="D571" s="16"/>
      <c r="E571" s="310"/>
      <c r="F571" s="46">
        <f t="shared" si="184"/>
        <v>0</v>
      </c>
      <c r="G571" s="306">
        <f t="shared" si="179"/>
        <v>0</v>
      </c>
      <c r="H571" s="305">
        <f t="shared" si="185"/>
        <v>0</v>
      </c>
      <c r="I571" s="305">
        <f t="shared" si="186"/>
        <v>0</v>
      </c>
      <c r="J571" s="305">
        <f t="shared" si="187"/>
        <v>0</v>
      </c>
      <c r="K571" s="305">
        <f t="shared" si="188"/>
        <v>0</v>
      </c>
      <c r="L571" s="306">
        <f t="shared" si="180"/>
        <v>0</v>
      </c>
      <c r="M571" s="305">
        <f>IFERROR(IF('Payroll 2020'!C571='Payroll 2020'!$A$3,IF('Income Statement 2020'!$N$22&gt;0,'Income Statement 2020'!$N$22*0.1*('Payroll 2020'!G571/SUMIF($C$533:$C$571,$A$3,$G$533:$G$571)),0),0),0)</f>
        <v>0</v>
      </c>
      <c r="N571" s="306">
        <f t="shared" si="181"/>
        <v>0</v>
      </c>
    </row>
    <row r="572" spans="1:14" outlineLevel="1" x14ac:dyDescent="0.25">
      <c r="A572" s="2" t="s">
        <v>19</v>
      </c>
      <c r="B572" s="2"/>
      <c r="C572" s="2"/>
      <c r="D572" s="2"/>
      <c r="E572" s="313">
        <f>AVERAGE(E533:E571)</f>
        <v>21.684210526315791</v>
      </c>
      <c r="F572" s="39">
        <f>IFERROR(SUM(F533:F571),0)</f>
        <v>6992</v>
      </c>
      <c r="G572" s="224">
        <f t="shared" ref="G572:N572" si="189">IFERROR(SUM(G533:G571),0)</f>
        <v>151616</v>
      </c>
      <c r="H572" s="224">
        <f t="shared" si="189"/>
        <v>10951.68</v>
      </c>
      <c r="I572" s="224">
        <f t="shared" si="189"/>
        <v>6571.0080000000034</v>
      </c>
      <c r="J572" s="224">
        <f t="shared" si="189"/>
        <v>10951.68</v>
      </c>
      <c r="K572" s="224">
        <f t="shared" si="189"/>
        <v>0</v>
      </c>
      <c r="L572" s="224">
        <f t="shared" si="189"/>
        <v>123141.63200000004</v>
      </c>
      <c r="M572" s="224">
        <f t="shared" si="189"/>
        <v>0</v>
      </c>
      <c r="N572" s="224">
        <f t="shared" si="189"/>
        <v>123141.63200000004</v>
      </c>
    </row>
    <row r="573" spans="1:14" outlineLevel="1" x14ac:dyDescent="0.25"/>
  </sheetData>
  <mergeCells count="1">
    <mergeCell ref="H7:I7"/>
  </mergeCells>
  <conditionalFormatting sqref="G77:N77 F38:F77">
    <cfRule type="notContainsBlanks" priority="13">
      <formula>LEN(TRIM(F38))&gt;0</formula>
    </cfRule>
  </conditionalFormatting>
  <conditionalFormatting sqref="G122:N122 F83:F122">
    <cfRule type="notContainsBlanks" priority="12">
      <formula>LEN(TRIM(F83))&gt;0</formula>
    </cfRule>
  </conditionalFormatting>
  <conditionalFormatting sqref="F128:F166">
    <cfRule type="notContainsBlanks" priority="11">
      <formula>LEN(TRIM(F128))&gt;0</formula>
    </cfRule>
  </conditionalFormatting>
  <conditionalFormatting sqref="F173:F211">
    <cfRule type="notContainsBlanks" priority="10">
      <formula>LEN(TRIM(F173))&gt;0</formula>
    </cfRule>
  </conditionalFormatting>
  <conditionalFormatting sqref="F218">
    <cfRule type="notContainsBlanks" priority="9">
      <formula>LEN(TRIM(F218))&gt;0</formula>
    </cfRule>
  </conditionalFormatting>
  <conditionalFormatting sqref="F263">
    <cfRule type="notContainsBlanks" priority="8">
      <formula>LEN(TRIM(F263))&gt;0</formula>
    </cfRule>
  </conditionalFormatting>
  <conditionalFormatting sqref="F308">
    <cfRule type="notContainsBlanks" priority="7">
      <formula>LEN(TRIM(F308))&gt;0</formula>
    </cfRule>
  </conditionalFormatting>
  <conditionalFormatting sqref="F353">
    <cfRule type="notContainsBlanks" priority="6">
      <formula>LEN(TRIM(F353))&gt;0</formula>
    </cfRule>
  </conditionalFormatting>
  <conditionalFormatting sqref="F533">
    <cfRule type="notContainsBlanks" priority="2">
      <formula>LEN(TRIM(F533))&gt;0</formula>
    </cfRule>
  </conditionalFormatting>
  <conditionalFormatting sqref="F398:F423">
    <cfRule type="notContainsBlanks" priority="1">
      <formula>LEN(TRIM(F398))&gt;0</formula>
    </cfRule>
  </conditionalFormatting>
  <dataValidations count="2">
    <dataValidation type="list" allowBlank="1" showInputMessage="1" showErrorMessage="1" sqref="C514:C526 C361:C391 C559:C571 C38:C76 C83:C121 C128:C166 C181:C211 C226:C256 C316:C346 C469:C481 C271:C301 C424:C436" xr:uid="{00000000-0002-0000-0100-000000000000}">
      <formula1>$A$3:$A$5</formula1>
    </dataValidation>
    <dataValidation type="list" allowBlank="1" showInputMessage="1" showErrorMessage="1" sqref="D533:D571 D38:D76 D83:D121 D128:D166 D173:D211 D218:D256 D263:D301 D308:D346 D353:D391 D443:D481 D488:D526 D398:D436" xr:uid="{D1F583DC-DAEC-684A-A443-836FABF26143}">
      <formula1>$A$8:$A$12</formula1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39997558519241921"/>
  </sheetPr>
  <dimension ref="A1:N24"/>
  <sheetViews>
    <sheetView showGridLines="0" zoomScale="150" workbookViewId="0">
      <pane ySplit="2" topLeftCell="A3" activePane="bottomLeft" state="frozen"/>
      <selection pane="bottomLeft" activeCell="E5" sqref="C5:E5"/>
    </sheetView>
  </sheetViews>
  <sheetFormatPr baseColWidth="10" defaultColWidth="9.1640625" defaultRowHeight="16" outlineLevelRow="1" x14ac:dyDescent="0.25"/>
  <cols>
    <col min="1" max="1" width="28.6640625" style="1" customWidth="1"/>
    <col min="2" max="2" width="9.1640625" style="1"/>
    <col min="3" max="7" width="13.6640625" style="1" customWidth="1"/>
    <col min="8" max="16384" width="9.1640625" style="1"/>
  </cols>
  <sheetData>
    <row r="1" spans="1:14" s="4" customFormat="1" x14ac:dyDescent="0.25">
      <c r="A1" s="52" t="str">
        <f>"Cash Flow Statement - "&amp;C2&amp;"-"&amp;G2</f>
        <v>Cash Flow Statement - 2020-2024</v>
      </c>
      <c r="C1" s="49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4" s="4" customFormat="1" x14ac:dyDescent="0.25">
      <c r="A2" s="51"/>
      <c r="B2" s="3"/>
      <c r="C2" s="48">
        <v>2020</v>
      </c>
      <c r="D2" s="48">
        <f>C2+1</f>
        <v>2021</v>
      </c>
      <c r="E2" s="48">
        <f t="shared" ref="E2:G2" si="0">D2+1</f>
        <v>2022</v>
      </c>
      <c r="F2" s="48">
        <f t="shared" si="0"/>
        <v>2023</v>
      </c>
      <c r="G2" s="48">
        <f t="shared" si="0"/>
        <v>2024</v>
      </c>
      <c r="H2" s="48"/>
      <c r="I2" s="48"/>
      <c r="J2" s="48"/>
      <c r="K2" s="48"/>
      <c r="L2" s="48"/>
      <c r="M2" s="48"/>
      <c r="N2" s="48"/>
    </row>
    <row r="3" spans="1:14" x14ac:dyDescent="0.25">
      <c r="A3" s="9" t="s">
        <v>136</v>
      </c>
      <c r="B3" s="54"/>
      <c r="C3" s="9"/>
      <c r="D3" s="9"/>
      <c r="E3" s="9"/>
      <c r="F3" s="9"/>
      <c r="G3" s="9"/>
    </row>
    <row r="4" spans="1:14" outlineLevel="1" x14ac:dyDescent="0.25">
      <c r="A4" s="243" t="s">
        <v>137</v>
      </c>
      <c r="B4" s="244"/>
    </row>
    <row r="5" spans="1:14" outlineLevel="1" x14ac:dyDescent="0.25">
      <c r="A5" s="244" t="s">
        <v>72</v>
      </c>
      <c r="B5" s="244"/>
      <c r="C5" s="114">
        <f>'Income Statement 2020-2024'!C30</f>
        <v>-1214800.8121084061</v>
      </c>
      <c r="D5" s="114">
        <f>'Income Statement 2020-2024'!D30</f>
        <v>-6520039.0784680042</v>
      </c>
      <c r="E5" s="114">
        <f>'Income Statement 2020-2024'!E30</f>
        <v>-1595573.153284017</v>
      </c>
      <c r="F5" s="114">
        <f>'Income Statement 2020-2024'!F30</f>
        <v>14398966.166236453</v>
      </c>
      <c r="G5" s="114">
        <f>'Income Statement 2020-2024'!G30</f>
        <v>79961217.917187482</v>
      </c>
    </row>
    <row r="6" spans="1:14" outlineLevel="1" x14ac:dyDescent="0.25">
      <c r="A6" s="244" t="s">
        <v>138</v>
      </c>
      <c r="B6" s="244"/>
      <c r="C6" s="114">
        <f>'Income Statement 2020-2024'!C10</f>
        <v>6225</v>
      </c>
      <c r="D6" s="114">
        <f>'Income Statement 2020-2024'!D10</f>
        <v>201.7995875</v>
      </c>
      <c r="E6" s="114">
        <f>'Income Statement 2020-2024'!E10</f>
        <v>382.51517282225626</v>
      </c>
      <c r="F6" s="114">
        <f>'Income Statement 2020-2024'!F10</f>
        <v>562.95814868405387</v>
      </c>
      <c r="G6" s="114">
        <f>'Income Statement 2020-2024'!G10</f>
        <v>743.12892631676402</v>
      </c>
    </row>
    <row r="7" spans="1:14" outlineLevel="1" x14ac:dyDescent="0.25">
      <c r="A7" s="245" t="s">
        <v>139</v>
      </c>
      <c r="B7" s="245"/>
      <c r="C7" s="225">
        <f>'Balance Sheet 2020-2024'!C51</f>
        <v>-18884.331653334684</v>
      </c>
      <c r="D7" s="225">
        <f>'Balance Sheet 2020-2024'!D51</f>
        <v>-317134.79275503597</v>
      </c>
      <c r="E7" s="225">
        <f>'Balance Sheet 2020-2024'!E51</f>
        <v>-1218047.3144246682</v>
      </c>
      <c r="F7" s="225">
        <f>'Balance Sheet 2020-2024'!F51</f>
        <v>-3052598.876488226</v>
      </c>
      <c r="G7" s="225">
        <f>'Balance Sheet 2020-2024'!G51</f>
        <v>-10826756.151651639</v>
      </c>
    </row>
    <row r="8" spans="1:14" outlineLevel="1" x14ac:dyDescent="0.25">
      <c r="A8" s="243" t="s">
        <v>140</v>
      </c>
      <c r="B8" s="243"/>
      <c r="C8" s="224">
        <f>C5+C6-C7</f>
        <v>-1189691.4804550714</v>
      </c>
      <c r="D8" s="224">
        <f t="shared" ref="D8:G8" si="1">D5+D6-D7</f>
        <v>-6202702.4861254683</v>
      </c>
      <c r="E8" s="224">
        <f t="shared" si="1"/>
        <v>-377143.32368652662</v>
      </c>
      <c r="F8" s="224">
        <f t="shared" si="1"/>
        <v>17452128.000873365</v>
      </c>
      <c r="G8" s="224">
        <f t="shared" si="1"/>
        <v>90788717.19776544</v>
      </c>
    </row>
    <row r="9" spans="1:14" outlineLevel="1" x14ac:dyDescent="0.25"/>
    <row r="10" spans="1:14" outlineLevel="1" x14ac:dyDescent="0.25">
      <c r="A10" s="243" t="s">
        <v>141</v>
      </c>
      <c r="B10" s="244"/>
    </row>
    <row r="11" spans="1:14" outlineLevel="1" x14ac:dyDescent="0.25">
      <c r="A11" s="245" t="s">
        <v>142</v>
      </c>
      <c r="B11" s="245"/>
      <c r="C11" s="225">
        <f>'Balance Sheet 2020-2024'!C7</f>
        <v>120000</v>
      </c>
      <c r="D11" s="225">
        <f>'Balance Sheet 2020-2024'!D7</f>
        <v>120000</v>
      </c>
      <c r="E11" s="225">
        <f>'Balance Sheet 2020-2024'!E7</f>
        <v>120000</v>
      </c>
      <c r="F11" s="225">
        <f>'Balance Sheet 2020-2024'!F7</f>
        <v>120000</v>
      </c>
      <c r="G11" s="225">
        <f>'Balance Sheet 2020-2024'!G7</f>
        <v>120000</v>
      </c>
    </row>
    <row r="12" spans="1:14" outlineLevel="1" x14ac:dyDescent="0.25">
      <c r="A12" s="243" t="s">
        <v>143</v>
      </c>
      <c r="B12" s="243"/>
      <c r="C12" s="224">
        <f>C11</f>
        <v>120000</v>
      </c>
      <c r="D12" s="224">
        <f t="shared" ref="D12:G12" si="2">D11</f>
        <v>120000</v>
      </c>
      <c r="E12" s="224">
        <f t="shared" si="2"/>
        <v>120000</v>
      </c>
      <c r="F12" s="224">
        <f t="shared" si="2"/>
        <v>120000</v>
      </c>
      <c r="G12" s="224">
        <f t="shared" si="2"/>
        <v>120000</v>
      </c>
    </row>
    <row r="13" spans="1:14" outlineLevel="1" x14ac:dyDescent="0.25"/>
    <row r="14" spans="1:14" outlineLevel="1" x14ac:dyDescent="0.25">
      <c r="A14" s="243" t="s">
        <v>144</v>
      </c>
      <c r="B14" s="244"/>
    </row>
    <row r="15" spans="1:14" outlineLevel="1" x14ac:dyDescent="0.25">
      <c r="A15" s="244" t="s">
        <v>531</v>
      </c>
      <c r="B15" s="244"/>
      <c r="C15" s="114">
        <f>'Cash Flow Statement 2020'!O17</f>
        <v>10171700</v>
      </c>
      <c r="D15" s="114">
        <f>'Balance Sheet 2020-2024'!D8</f>
        <v>0</v>
      </c>
      <c r="E15" s="114">
        <f>'Balance Sheet 2020-2024'!E8</f>
        <v>0</v>
      </c>
      <c r="F15" s="114">
        <f>'Balance Sheet 2020-2024'!F8</f>
        <v>0</v>
      </c>
      <c r="G15" s="114">
        <f>'Balance Sheet 2020-2024'!G8</f>
        <v>0</v>
      </c>
    </row>
    <row r="16" spans="1:14" outlineLevel="1" x14ac:dyDescent="0.25">
      <c r="A16" s="245" t="s">
        <v>665</v>
      </c>
      <c r="B16" s="245"/>
      <c r="C16" s="278">
        <f>'Cash Flow Statement 2020'!O18</f>
        <v>4000000</v>
      </c>
      <c r="D16" s="278">
        <f>'Balance Sheet 2020-2024'!D9</f>
        <v>0</v>
      </c>
      <c r="E16" s="278">
        <f>'Balance Sheet 2020-2024'!E9</f>
        <v>0</v>
      </c>
      <c r="F16" s="278">
        <f>'Balance Sheet 2020-2024'!F9</f>
        <v>0</v>
      </c>
      <c r="G16" s="278">
        <f>'Balance Sheet 2020-2024'!G9</f>
        <v>0</v>
      </c>
    </row>
    <row r="17" spans="1:7" outlineLevel="1" x14ac:dyDescent="0.25">
      <c r="A17" s="243" t="s">
        <v>146</v>
      </c>
      <c r="B17" s="243"/>
      <c r="C17" s="224">
        <f>SUM(C15:C16)</f>
        <v>14171700</v>
      </c>
      <c r="D17" s="224">
        <f t="shared" ref="D17:G17" si="3">SUM(D15:D16)</f>
        <v>0</v>
      </c>
      <c r="E17" s="224">
        <f t="shared" si="3"/>
        <v>0</v>
      </c>
      <c r="F17" s="224">
        <f t="shared" si="3"/>
        <v>0</v>
      </c>
      <c r="G17" s="224">
        <f t="shared" si="3"/>
        <v>0</v>
      </c>
    </row>
    <row r="18" spans="1:7" outlineLevel="1" x14ac:dyDescent="0.25"/>
    <row r="19" spans="1:7" outlineLevel="1" x14ac:dyDescent="0.25">
      <c r="A19" s="244" t="s">
        <v>147</v>
      </c>
      <c r="B19" s="244"/>
      <c r="C19" s="114">
        <f>C8-C12+C17</f>
        <v>12862008.519544929</v>
      </c>
      <c r="D19" s="114">
        <f>D8-D12+D17</f>
        <v>-6322702.4861254683</v>
      </c>
      <c r="E19" s="114">
        <f t="shared" ref="E19:G19" si="4">E8-E12+E17</f>
        <v>-497143.32368652662</v>
      </c>
      <c r="F19" s="114">
        <f t="shared" si="4"/>
        <v>17332128.000873365</v>
      </c>
      <c r="G19" s="114">
        <f t="shared" si="4"/>
        <v>90668717.19776544</v>
      </c>
    </row>
    <row r="20" spans="1:7" outlineLevel="1" x14ac:dyDescent="0.25">
      <c r="A20" s="245" t="s">
        <v>148</v>
      </c>
      <c r="B20" s="245"/>
      <c r="C20" s="273">
        <f>B21</f>
        <v>0</v>
      </c>
      <c r="D20" s="273">
        <f t="shared" ref="D20:G20" si="5">C21</f>
        <v>12862008.519544929</v>
      </c>
      <c r="E20" s="273">
        <f t="shared" si="5"/>
        <v>6539306.033419461</v>
      </c>
      <c r="F20" s="273">
        <f t="shared" si="5"/>
        <v>6042162.7097329348</v>
      </c>
      <c r="G20" s="273">
        <f t="shared" si="5"/>
        <v>23374290.710606299</v>
      </c>
    </row>
    <row r="21" spans="1:7" outlineLevel="1" x14ac:dyDescent="0.25">
      <c r="A21" s="243" t="s">
        <v>149</v>
      </c>
      <c r="B21" s="243"/>
      <c r="C21" s="224">
        <f>SUM(C19:C20)</f>
        <v>12862008.519544929</v>
      </c>
      <c r="D21" s="224">
        <f>SUM(D19:D20)</f>
        <v>6539306.033419461</v>
      </c>
      <c r="E21" s="224">
        <f t="shared" ref="E21:G21" si="6">SUM(E19:E20)</f>
        <v>6042162.7097329348</v>
      </c>
      <c r="F21" s="224">
        <f t="shared" si="6"/>
        <v>23374290.710606299</v>
      </c>
      <c r="G21" s="224">
        <f t="shared" si="6"/>
        <v>114043007.90837175</v>
      </c>
    </row>
    <row r="22" spans="1:7" outlineLevel="1" x14ac:dyDescent="0.25"/>
    <row r="23" spans="1:7" outlineLevel="1" x14ac:dyDescent="0.25">
      <c r="A23" s="244" t="s">
        <v>105</v>
      </c>
      <c r="B23" s="244"/>
      <c r="C23" s="285">
        <f>C21-'Balance Sheet 2020'!C7</f>
        <v>12862008.519544929</v>
      </c>
      <c r="D23" s="285">
        <f>D21-'Balance Sheet 2020'!D7</f>
        <v>6539306.033419461</v>
      </c>
      <c r="E23" s="285">
        <f>E21-'Balance Sheet 2020'!E7</f>
        <v>6042162.7097329348</v>
      </c>
      <c r="F23" s="285">
        <f>F21-'Balance Sheet 2020'!F7</f>
        <v>23374290.710606299</v>
      </c>
      <c r="G23" s="285">
        <f>G21-'Balance Sheet 2020'!G7</f>
        <v>114043007.90837175</v>
      </c>
    </row>
    <row r="24" spans="1:7" outlineLevel="1" x14ac:dyDescent="0.25"/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7F747-A197-BE47-A3BE-FC6ADA7B174D}">
  <sheetPr>
    <tabColor rgb="FFFFFF00"/>
  </sheetPr>
  <dimension ref="A1:BI104"/>
  <sheetViews>
    <sheetView showGridLines="0" topLeftCell="A44" zoomScale="141" zoomScaleNormal="90" workbookViewId="0">
      <pane xSplit="1" topLeftCell="AC1" activePane="topRight" state="frozen"/>
      <selection pane="topRight" activeCell="E11" sqref="E11"/>
    </sheetView>
  </sheetViews>
  <sheetFormatPr baseColWidth="10" defaultColWidth="9.1640625" defaultRowHeight="16" outlineLevelRow="1" x14ac:dyDescent="0.25"/>
  <cols>
    <col min="1" max="1" width="43.1640625" style="1" bestFit="1" customWidth="1"/>
    <col min="2" max="7" width="10.33203125" style="1" customWidth="1"/>
    <col min="8" max="8" width="10.83203125" style="1" customWidth="1"/>
    <col min="9" max="9" width="10.6640625" style="1" customWidth="1"/>
    <col min="10" max="14" width="10.33203125" style="1" customWidth="1"/>
    <col min="15" max="20" width="13.6640625" style="1" bestFit="1" customWidth="1"/>
    <col min="21" max="37" width="14" style="1" bestFit="1" customWidth="1"/>
    <col min="38" max="51" width="14.6640625" style="1" bestFit="1" customWidth="1"/>
    <col min="52" max="61" width="14.83203125" style="1" bestFit="1" customWidth="1"/>
    <col min="62" max="16384" width="9.1640625" style="1"/>
  </cols>
  <sheetData>
    <row r="1" spans="1:14" s="4" customFormat="1" x14ac:dyDescent="0.25">
      <c r="A1" s="25" t="s">
        <v>293</v>
      </c>
    </row>
    <row r="2" spans="1:14" x14ac:dyDescent="0.25">
      <c r="A2" s="30" t="s">
        <v>79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4" s="151" customFormat="1" ht="17" customHeight="1" x14ac:dyDescent="0.25">
      <c r="A3" s="2" t="s">
        <v>294</v>
      </c>
      <c r="B3" s="2"/>
      <c r="C3" s="2"/>
      <c r="D3" s="150"/>
      <c r="E3" s="581" t="s">
        <v>297</v>
      </c>
      <c r="F3" s="581"/>
      <c r="G3" s="150"/>
      <c r="H3" s="150"/>
      <c r="I3" s="150"/>
      <c r="J3" s="150"/>
      <c r="K3" s="150"/>
      <c r="L3" s="150"/>
      <c r="M3" s="150"/>
      <c r="N3" s="150"/>
    </row>
    <row r="4" spans="1:14" s="151" customFormat="1" x14ac:dyDescent="0.25">
      <c r="A4" s="1" t="s">
        <v>295</v>
      </c>
      <c r="B4" s="107">
        <v>300</v>
      </c>
      <c r="C4" s="1"/>
      <c r="D4" s="150"/>
      <c r="E4" s="1" t="s">
        <v>298</v>
      </c>
      <c r="G4" s="110">
        <v>0.5</v>
      </c>
      <c r="H4" s="1" t="s">
        <v>257</v>
      </c>
      <c r="I4" s="1" t="s">
        <v>303</v>
      </c>
      <c r="J4" s="153"/>
      <c r="K4" s="111">
        <v>0.05</v>
      </c>
      <c r="L4" s="1" t="s">
        <v>302</v>
      </c>
      <c r="M4" s="150"/>
      <c r="N4" s="150"/>
    </row>
    <row r="5" spans="1:14" s="151" customFormat="1" x14ac:dyDescent="0.25">
      <c r="A5" s="1" t="s">
        <v>296</v>
      </c>
      <c r="B5" s="107">
        <v>150</v>
      </c>
      <c r="C5" s="1"/>
      <c r="E5" s="1" t="s">
        <v>299</v>
      </c>
      <c r="G5" s="110">
        <v>0.2</v>
      </c>
      <c r="H5" s="1" t="s">
        <v>257</v>
      </c>
      <c r="I5" s="1" t="s">
        <v>304</v>
      </c>
      <c r="J5" s="153"/>
      <c r="K5" s="111">
        <v>0.15</v>
      </c>
      <c r="L5" s="1" t="s">
        <v>302</v>
      </c>
    </row>
    <row r="6" spans="1:14" s="151" customFormat="1" ht="16" customHeight="1" x14ac:dyDescent="0.25">
      <c r="A6" s="151" t="s">
        <v>256</v>
      </c>
      <c r="B6" s="110">
        <v>0.15</v>
      </c>
      <c r="C6" s="1" t="s">
        <v>257</v>
      </c>
      <c r="E6" s="151" t="s">
        <v>300</v>
      </c>
      <c r="G6" s="110">
        <v>0.1</v>
      </c>
      <c r="H6" s="1" t="s">
        <v>257</v>
      </c>
      <c r="I6" s="1" t="s">
        <v>305</v>
      </c>
      <c r="K6" s="111">
        <v>0.25</v>
      </c>
      <c r="L6" s="1" t="s">
        <v>302</v>
      </c>
    </row>
    <row r="7" spans="1:14" s="151" customFormat="1" ht="16" customHeight="1" x14ac:dyDescent="0.25">
      <c r="A7" s="581"/>
      <c r="B7" s="581"/>
      <c r="E7" s="591" t="s">
        <v>301</v>
      </c>
      <c r="F7" s="591"/>
      <c r="G7" s="110">
        <v>0.2</v>
      </c>
      <c r="H7" s="1" t="s">
        <v>257</v>
      </c>
      <c r="I7" s="1" t="s">
        <v>306</v>
      </c>
      <c r="J7" s="150"/>
      <c r="K7" s="111">
        <v>0.4</v>
      </c>
      <c r="L7" s="1" t="s">
        <v>302</v>
      </c>
    </row>
    <row r="8" spans="1:14" s="151" customFormat="1" x14ac:dyDescent="0.25">
      <c r="A8" s="2" t="s">
        <v>334</v>
      </c>
      <c r="B8" s="172">
        <v>5.0000000000000001E-3</v>
      </c>
      <c r="C8" s="1" t="s">
        <v>257</v>
      </c>
      <c r="G8" s="153"/>
      <c r="H8" s="153"/>
      <c r="I8" s="1" t="s">
        <v>307</v>
      </c>
      <c r="J8" s="153"/>
      <c r="K8" s="110">
        <v>0.25</v>
      </c>
    </row>
    <row r="9" spans="1:14" s="151" customFormat="1" x14ac:dyDescent="0.25">
      <c r="A9" s="2" t="s">
        <v>337</v>
      </c>
      <c r="B9" s="172">
        <v>5.0000000000000001E-3</v>
      </c>
      <c r="C9" s="1" t="s">
        <v>257</v>
      </c>
      <c r="G9" s="153"/>
      <c r="H9" s="153"/>
      <c r="I9" s="153"/>
      <c r="J9" s="153"/>
      <c r="K9" s="153"/>
    </row>
    <row r="10" spans="1:14" s="151" customFormat="1" x14ac:dyDescent="0.25">
      <c r="A10" s="2" t="s">
        <v>349</v>
      </c>
      <c r="B10" s="172">
        <v>0.2</v>
      </c>
      <c r="C10" s="1" t="s">
        <v>257</v>
      </c>
      <c r="G10" s="153"/>
      <c r="H10" s="153"/>
      <c r="I10" s="153"/>
      <c r="J10" s="153"/>
      <c r="K10" s="153"/>
    </row>
    <row r="11" spans="1:14" s="151" customFormat="1" x14ac:dyDescent="0.25">
      <c r="A11" s="2"/>
      <c r="B11" s="172"/>
      <c r="C11" s="1"/>
      <c r="G11" s="153"/>
      <c r="H11" s="153"/>
      <c r="I11" s="153"/>
      <c r="J11" s="153"/>
      <c r="K11" s="153"/>
    </row>
    <row r="12" spans="1:14" s="151" customFormat="1" x14ac:dyDescent="0.25">
      <c r="A12" s="2" t="s">
        <v>368</v>
      </c>
      <c r="B12" s="172">
        <v>0.17</v>
      </c>
      <c r="C12" s="1" t="s">
        <v>257</v>
      </c>
      <c r="E12" s="150" t="s">
        <v>378</v>
      </c>
      <c r="H12" s="192">
        <v>1E-3</v>
      </c>
      <c r="I12" s="153"/>
      <c r="J12" s="153"/>
      <c r="K12" s="153"/>
    </row>
    <row r="13" spans="1:14" s="151" customFormat="1" x14ac:dyDescent="0.25">
      <c r="A13" s="2" t="s">
        <v>369</v>
      </c>
      <c r="B13" s="172">
        <v>0.1</v>
      </c>
      <c r="C13" s="1" t="s">
        <v>257</v>
      </c>
      <c r="G13" s="153"/>
      <c r="H13" s="153"/>
      <c r="I13" s="153"/>
      <c r="J13" s="153"/>
      <c r="K13" s="153"/>
    </row>
    <row r="14" spans="1:14" s="151" customFormat="1" x14ac:dyDescent="0.25">
      <c r="A14" s="2" t="s">
        <v>370</v>
      </c>
      <c r="B14" s="172">
        <v>0.08</v>
      </c>
      <c r="C14" s="1" t="s">
        <v>257</v>
      </c>
      <c r="G14" s="153"/>
      <c r="H14" s="153"/>
      <c r="I14" s="153"/>
      <c r="J14" s="153"/>
      <c r="K14" s="153"/>
    </row>
    <row r="15" spans="1:14" s="151" customFormat="1" x14ac:dyDescent="0.25">
      <c r="A15" s="2" t="s">
        <v>369</v>
      </c>
      <c r="B15" s="172">
        <v>0.05</v>
      </c>
      <c r="C15" s="1" t="s">
        <v>257</v>
      </c>
      <c r="G15" s="153"/>
      <c r="H15" s="153"/>
      <c r="I15" s="153"/>
      <c r="J15" s="153"/>
      <c r="K15" s="153"/>
    </row>
    <row r="16" spans="1:14" s="151" customFormat="1" x14ac:dyDescent="0.25"/>
    <row r="17" spans="1:61" s="154" customFormat="1" ht="20" customHeight="1" x14ac:dyDescent="0.25">
      <c r="A17" s="3" t="s">
        <v>343</v>
      </c>
      <c r="B17" s="131">
        <v>43831</v>
      </c>
      <c r="C17" s="131">
        <v>43862</v>
      </c>
      <c r="D17" s="131">
        <v>43891</v>
      </c>
      <c r="E17" s="131">
        <v>43922</v>
      </c>
      <c r="F17" s="131">
        <v>43952</v>
      </c>
      <c r="G17" s="131">
        <v>43983</v>
      </c>
      <c r="H17" s="131">
        <v>44013</v>
      </c>
      <c r="I17" s="131">
        <v>44044</v>
      </c>
      <c r="J17" s="131">
        <v>44075</v>
      </c>
      <c r="K17" s="131">
        <v>44105</v>
      </c>
      <c r="L17" s="131">
        <v>44136</v>
      </c>
      <c r="M17" s="131">
        <v>44166</v>
      </c>
      <c r="N17" s="131">
        <v>44197</v>
      </c>
      <c r="O17" s="131">
        <v>44228</v>
      </c>
      <c r="P17" s="131">
        <v>44256</v>
      </c>
      <c r="Q17" s="131">
        <v>44287</v>
      </c>
      <c r="R17" s="131">
        <v>44317</v>
      </c>
      <c r="S17" s="131">
        <v>44348</v>
      </c>
      <c r="T17" s="131">
        <v>44378</v>
      </c>
      <c r="U17" s="131">
        <v>44409</v>
      </c>
      <c r="V17" s="131">
        <v>44440</v>
      </c>
      <c r="W17" s="131">
        <v>44470</v>
      </c>
      <c r="X17" s="131">
        <v>44501</v>
      </c>
      <c r="Y17" s="131">
        <v>44531</v>
      </c>
      <c r="Z17" s="131">
        <v>44562</v>
      </c>
      <c r="AA17" s="131">
        <v>44593</v>
      </c>
      <c r="AB17" s="131">
        <v>44621</v>
      </c>
      <c r="AC17" s="131">
        <v>44652</v>
      </c>
      <c r="AD17" s="131">
        <v>44682</v>
      </c>
      <c r="AE17" s="131">
        <v>44713</v>
      </c>
      <c r="AF17" s="131">
        <v>44743</v>
      </c>
      <c r="AG17" s="131">
        <v>44774</v>
      </c>
      <c r="AH17" s="131">
        <v>44805</v>
      </c>
      <c r="AI17" s="131">
        <v>44835</v>
      </c>
      <c r="AJ17" s="131">
        <v>44866</v>
      </c>
      <c r="AK17" s="131">
        <v>44896</v>
      </c>
      <c r="AL17" s="131">
        <v>44927</v>
      </c>
      <c r="AM17" s="131">
        <v>44958</v>
      </c>
      <c r="AN17" s="131">
        <v>44986</v>
      </c>
      <c r="AO17" s="131">
        <v>45017</v>
      </c>
      <c r="AP17" s="131">
        <v>45047</v>
      </c>
      <c r="AQ17" s="131">
        <v>45078</v>
      </c>
      <c r="AR17" s="131">
        <v>45108</v>
      </c>
      <c r="AS17" s="131">
        <v>45139</v>
      </c>
      <c r="AT17" s="131">
        <v>45170</v>
      </c>
      <c r="AU17" s="131">
        <v>45200</v>
      </c>
      <c r="AV17" s="131">
        <v>45231</v>
      </c>
      <c r="AW17" s="131">
        <v>45261</v>
      </c>
      <c r="AX17" s="131">
        <v>45292</v>
      </c>
      <c r="AY17" s="131">
        <v>45323</v>
      </c>
      <c r="AZ17" s="131">
        <v>45352</v>
      </c>
      <c r="BA17" s="131">
        <v>45383</v>
      </c>
      <c r="BB17" s="131">
        <v>45413</v>
      </c>
      <c r="BC17" s="131">
        <v>45444</v>
      </c>
      <c r="BD17" s="131">
        <v>45474</v>
      </c>
      <c r="BE17" s="131">
        <v>45505</v>
      </c>
      <c r="BF17" s="131">
        <v>45536</v>
      </c>
      <c r="BG17" s="131">
        <v>45566</v>
      </c>
      <c r="BH17" s="131">
        <v>45597</v>
      </c>
      <c r="BI17" s="131">
        <v>45627</v>
      </c>
    </row>
    <row r="18" spans="1:61" s="150" customFormat="1" outlineLevel="1" x14ac:dyDescent="0.25">
      <c r="A18" s="150" t="s">
        <v>309</v>
      </c>
      <c r="B18" s="164">
        <f>'White label websites (WLW)'!C69</f>
        <v>1</v>
      </c>
      <c r="C18" s="164">
        <f>'White label websites (WLW)'!D69</f>
        <v>1</v>
      </c>
      <c r="D18" s="164">
        <f>'White label websites (WLW)'!E69</f>
        <v>1</v>
      </c>
      <c r="E18" s="164">
        <f>'White label websites (WLW)'!F69</f>
        <v>1</v>
      </c>
      <c r="F18" s="164">
        <f>'White label websites (WLW)'!G69</f>
        <v>1</v>
      </c>
      <c r="G18" s="164">
        <f>'White label websites (WLW)'!H69</f>
        <v>1</v>
      </c>
      <c r="H18" s="164">
        <f>'White label websites (WLW)'!I69</f>
        <v>1</v>
      </c>
      <c r="I18" s="164">
        <f>'White label websites (WLW)'!J69</f>
        <v>3</v>
      </c>
      <c r="J18" s="164">
        <f>'White label websites (WLW)'!K69</f>
        <v>4</v>
      </c>
      <c r="K18" s="164">
        <f>'White label websites (WLW)'!L69</f>
        <v>6</v>
      </c>
      <c r="L18" s="164">
        <f>'White label websites (WLW)'!M69</f>
        <v>8</v>
      </c>
      <c r="M18" s="164">
        <f>'White label websites (WLW)'!N69</f>
        <v>10</v>
      </c>
      <c r="N18" s="164">
        <f>'White label websites (WLW)'!O69</f>
        <v>10</v>
      </c>
      <c r="O18" s="164">
        <f>'White label websites (WLW)'!P69</f>
        <v>10</v>
      </c>
      <c r="P18" s="164">
        <f>'White label websites (WLW)'!Q69</f>
        <v>10</v>
      </c>
      <c r="Q18" s="164">
        <f>'White label websites (WLW)'!R69</f>
        <v>10</v>
      </c>
      <c r="R18" s="164">
        <f>'White label websites (WLW)'!S69</f>
        <v>10</v>
      </c>
      <c r="S18" s="164">
        <f>'White label websites (WLW)'!T69</f>
        <v>10</v>
      </c>
      <c r="T18" s="164">
        <f>'White label websites (WLW)'!U69</f>
        <v>10</v>
      </c>
      <c r="U18" s="164">
        <f>'White label websites (WLW)'!V69</f>
        <v>10</v>
      </c>
      <c r="V18" s="164">
        <f>'White label websites (WLW)'!W69</f>
        <v>10</v>
      </c>
      <c r="W18" s="164">
        <f>'White label websites (WLW)'!X69</f>
        <v>11</v>
      </c>
      <c r="X18" s="164">
        <f>'White label websites (WLW)'!Y69</f>
        <v>11</v>
      </c>
      <c r="Y18" s="164">
        <f>'White label websites (WLW)'!Z69</f>
        <v>11</v>
      </c>
      <c r="Z18" s="164">
        <f>'White label websites (WLW)'!AA69</f>
        <v>11</v>
      </c>
      <c r="AA18" s="164">
        <f>'White label websites (WLW)'!AB69</f>
        <v>11</v>
      </c>
      <c r="AB18" s="164">
        <f>'White label websites (WLW)'!AC69</f>
        <v>11</v>
      </c>
      <c r="AC18" s="164">
        <f>'White label websites (WLW)'!AD69</f>
        <v>11</v>
      </c>
      <c r="AD18" s="164">
        <f>'White label websites (WLW)'!AE69</f>
        <v>11</v>
      </c>
      <c r="AE18" s="164">
        <f>'White label websites (WLW)'!AF69</f>
        <v>11</v>
      </c>
      <c r="AF18" s="164">
        <f>'White label websites (WLW)'!AG69</f>
        <v>11</v>
      </c>
      <c r="AG18" s="164">
        <f>'White label websites (WLW)'!AH69</f>
        <v>11</v>
      </c>
      <c r="AH18" s="164">
        <f>'White label websites (WLW)'!AI69</f>
        <v>11</v>
      </c>
      <c r="AI18" s="164">
        <f>'White label websites (WLW)'!AJ69</f>
        <v>11</v>
      </c>
      <c r="AJ18" s="164">
        <f>'White label websites (WLW)'!AK69</f>
        <v>11</v>
      </c>
      <c r="AK18" s="164">
        <f>'White label websites (WLW)'!AL69</f>
        <v>11</v>
      </c>
      <c r="AL18" s="164">
        <f>'White label websites (WLW)'!AM69</f>
        <v>11</v>
      </c>
      <c r="AM18" s="164">
        <f>'White label websites (WLW)'!AN69</f>
        <v>11</v>
      </c>
      <c r="AN18" s="164">
        <f>'White label websites (WLW)'!AO69</f>
        <v>11</v>
      </c>
      <c r="AO18" s="164">
        <f>'White label websites (WLW)'!AP69</f>
        <v>11</v>
      </c>
      <c r="AP18" s="164">
        <f>'White label websites (WLW)'!AQ69</f>
        <v>11</v>
      </c>
      <c r="AQ18" s="164">
        <f>'White label websites (WLW)'!AR69</f>
        <v>11</v>
      </c>
      <c r="AR18" s="164">
        <f>'White label websites (WLW)'!AS69</f>
        <v>11</v>
      </c>
      <c r="AS18" s="164">
        <f>'White label websites (WLW)'!AT69</f>
        <v>11</v>
      </c>
      <c r="AT18" s="164">
        <f>'White label websites (WLW)'!AU69</f>
        <v>11</v>
      </c>
      <c r="AU18" s="164">
        <f>'White label websites (WLW)'!AV69</f>
        <v>11</v>
      </c>
      <c r="AV18" s="164">
        <f>'White label websites (WLW)'!AW69</f>
        <v>11</v>
      </c>
      <c r="AW18" s="164">
        <f>'White label websites (WLW)'!AX69</f>
        <v>11</v>
      </c>
      <c r="AX18" s="164">
        <f>'White label websites (WLW)'!AY69</f>
        <v>11</v>
      </c>
      <c r="AY18" s="164">
        <f>'White label websites (WLW)'!AZ69</f>
        <v>11</v>
      </c>
      <c r="AZ18" s="164">
        <f>'White label websites (WLW)'!BA69</f>
        <v>11</v>
      </c>
      <c r="BA18" s="164">
        <f>'White label websites (WLW)'!BB69</f>
        <v>12</v>
      </c>
      <c r="BB18" s="164">
        <f>'White label websites (WLW)'!BC69</f>
        <v>12</v>
      </c>
      <c r="BC18" s="164">
        <f>'White label websites (WLW)'!BD69</f>
        <v>12</v>
      </c>
      <c r="BD18" s="164">
        <f>'White label websites (WLW)'!BE69</f>
        <v>12</v>
      </c>
      <c r="BE18" s="164">
        <f>'White label websites (WLW)'!BF69</f>
        <v>12</v>
      </c>
      <c r="BF18" s="164">
        <f>'White label websites (WLW)'!BG69</f>
        <v>12</v>
      </c>
      <c r="BG18" s="164">
        <f>'White label websites (WLW)'!BH69</f>
        <v>12</v>
      </c>
      <c r="BH18" s="164">
        <f>'White label websites (WLW)'!BI69</f>
        <v>12</v>
      </c>
      <c r="BI18" s="164">
        <f>'White label websites (WLW)'!BJ69</f>
        <v>12</v>
      </c>
    </row>
    <row r="19" spans="1:61" s="151" customFormat="1" outlineLevel="1" x14ac:dyDescent="0.25">
      <c r="A19" s="151" t="s">
        <v>214</v>
      </c>
      <c r="B19" s="162">
        <f>B18*'White label websites (WLW)'!$G$4</f>
        <v>0.3</v>
      </c>
      <c r="C19" s="162">
        <f>C18*'White label websites (WLW)'!$G$4</f>
        <v>0.3</v>
      </c>
      <c r="D19" s="162">
        <f>D18*'White label websites (WLW)'!$G$4</f>
        <v>0.3</v>
      </c>
      <c r="E19" s="162">
        <f>E18*'White label websites (WLW)'!$G$4</f>
        <v>0.3</v>
      </c>
      <c r="F19" s="162">
        <f>F18*'White label websites (WLW)'!$G$4</f>
        <v>0.3</v>
      </c>
      <c r="G19" s="162">
        <f>G18*'White label websites (WLW)'!$G$4</f>
        <v>0.3</v>
      </c>
      <c r="H19" s="162">
        <f>H18*'White label websites (WLW)'!$G$4</f>
        <v>0.3</v>
      </c>
      <c r="I19" s="162">
        <f>I18*'White label websites (WLW)'!$G$4</f>
        <v>0.89999999999999991</v>
      </c>
      <c r="J19" s="162">
        <f>J18*'White label websites (WLW)'!$G$4</f>
        <v>1.2</v>
      </c>
      <c r="K19" s="162">
        <f>K18*'White label websites (WLW)'!$G$4</f>
        <v>1.7999999999999998</v>
      </c>
      <c r="L19" s="162">
        <f>L18*'White label websites (WLW)'!$G$4</f>
        <v>2.4</v>
      </c>
      <c r="M19" s="162">
        <f>M18*'White label websites (WLW)'!$G$4</f>
        <v>3</v>
      </c>
      <c r="N19" s="162">
        <f>N18*'White label websites (WLW)'!$G$4</f>
        <v>3</v>
      </c>
      <c r="O19" s="162">
        <f>O18*'White label websites (WLW)'!$G$4</f>
        <v>3</v>
      </c>
      <c r="P19" s="162">
        <f>P18*'White label websites (WLW)'!$G$4</f>
        <v>3</v>
      </c>
      <c r="Q19" s="162">
        <f>Q18*'White label websites (WLW)'!$G$4</f>
        <v>3</v>
      </c>
      <c r="R19" s="162">
        <f>R18*'White label websites (WLW)'!$G$4</f>
        <v>3</v>
      </c>
      <c r="S19" s="162">
        <f>S18*'White label websites (WLW)'!$G$4</f>
        <v>3</v>
      </c>
      <c r="T19" s="162">
        <f>T18*'White label websites (WLW)'!$G$4</f>
        <v>3</v>
      </c>
      <c r="U19" s="162">
        <f>U18*'White label websites (WLW)'!$G$4</f>
        <v>3</v>
      </c>
      <c r="V19" s="162">
        <f>V18*'White label websites (WLW)'!$G$4</f>
        <v>3</v>
      </c>
      <c r="W19" s="162">
        <f>W18*'White label websites (WLW)'!$G$4</f>
        <v>3.3</v>
      </c>
      <c r="X19" s="162">
        <f>X18*'White label websites (WLW)'!$G$4</f>
        <v>3.3</v>
      </c>
      <c r="Y19" s="162">
        <f>Y18*'White label websites (WLW)'!$G$4</f>
        <v>3.3</v>
      </c>
      <c r="Z19" s="162">
        <f>Z18*'White label websites (WLW)'!$G$4</f>
        <v>3.3</v>
      </c>
      <c r="AA19" s="162">
        <f>AA18*'White label websites (WLW)'!$G$4</f>
        <v>3.3</v>
      </c>
      <c r="AB19" s="162">
        <f>AB18*'White label websites (WLW)'!$G$4</f>
        <v>3.3</v>
      </c>
      <c r="AC19" s="162">
        <f>AC18*'White label websites (WLW)'!$G$4</f>
        <v>3.3</v>
      </c>
      <c r="AD19" s="162">
        <f>AD18*'White label websites (WLW)'!$G$4</f>
        <v>3.3</v>
      </c>
      <c r="AE19" s="162">
        <f>AE18*'White label websites (WLW)'!$G$4</f>
        <v>3.3</v>
      </c>
      <c r="AF19" s="162">
        <f>AF18*'White label websites (WLW)'!$G$4</f>
        <v>3.3</v>
      </c>
      <c r="AG19" s="162">
        <f>AG18*'White label websites (WLW)'!$G$4</f>
        <v>3.3</v>
      </c>
      <c r="AH19" s="162">
        <f>AH18*'White label websites (WLW)'!$G$4</f>
        <v>3.3</v>
      </c>
      <c r="AI19" s="162">
        <f>AI18*'White label websites (WLW)'!$G$4</f>
        <v>3.3</v>
      </c>
      <c r="AJ19" s="162">
        <f>AJ18*'White label websites (WLW)'!$G$4</f>
        <v>3.3</v>
      </c>
      <c r="AK19" s="162">
        <f>AK18*'White label websites (WLW)'!$G$4</f>
        <v>3.3</v>
      </c>
      <c r="AL19" s="162">
        <f>AL18*'White label websites (WLW)'!$G$4</f>
        <v>3.3</v>
      </c>
      <c r="AM19" s="162">
        <f>AM18*'White label websites (WLW)'!$G$4</f>
        <v>3.3</v>
      </c>
      <c r="AN19" s="162">
        <f>AN18*'White label websites (WLW)'!$G$4</f>
        <v>3.3</v>
      </c>
      <c r="AO19" s="162">
        <f>AO18*'White label websites (WLW)'!$G$4</f>
        <v>3.3</v>
      </c>
      <c r="AP19" s="162">
        <f>AP18*'White label websites (WLW)'!$G$4</f>
        <v>3.3</v>
      </c>
      <c r="AQ19" s="162">
        <f>AQ18*'White label websites (WLW)'!$G$4</f>
        <v>3.3</v>
      </c>
      <c r="AR19" s="162">
        <f>AR18*'White label websites (WLW)'!$G$4</f>
        <v>3.3</v>
      </c>
      <c r="AS19" s="162">
        <f>AS18*'White label websites (WLW)'!$G$4</f>
        <v>3.3</v>
      </c>
      <c r="AT19" s="162">
        <f>AT18*'White label websites (WLW)'!$G$4</f>
        <v>3.3</v>
      </c>
      <c r="AU19" s="162">
        <f>AU18*'White label websites (WLW)'!$G$4</f>
        <v>3.3</v>
      </c>
      <c r="AV19" s="162">
        <f>AV18*'White label websites (WLW)'!$G$4</f>
        <v>3.3</v>
      </c>
      <c r="AW19" s="162">
        <f>AW18*'White label websites (WLW)'!$G$4</f>
        <v>3.3</v>
      </c>
      <c r="AX19" s="162">
        <f>AX18*'White label websites (WLW)'!$G$4</f>
        <v>3.3</v>
      </c>
      <c r="AY19" s="162">
        <f>AY18*'White label websites (WLW)'!$G$4</f>
        <v>3.3</v>
      </c>
      <c r="AZ19" s="162">
        <f>AZ18*'White label websites (WLW)'!$G$4</f>
        <v>3.3</v>
      </c>
      <c r="BA19" s="162">
        <f>BA18*'White label websites (WLW)'!$G$4</f>
        <v>3.5999999999999996</v>
      </c>
      <c r="BB19" s="162">
        <f>BB18*'White label websites (WLW)'!$G$4</f>
        <v>3.5999999999999996</v>
      </c>
      <c r="BC19" s="162">
        <f>BC18*'White label websites (WLW)'!$G$4</f>
        <v>3.5999999999999996</v>
      </c>
      <c r="BD19" s="162">
        <f>BD18*'White label websites (WLW)'!$G$4</f>
        <v>3.5999999999999996</v>
      </c>
      <c r="BE19" s="162">
        <f>BE18*'White label websites (WLW)'!$G$4</f>
        <v>3.5999999999999996</v>
      </c>
      <c r="BF19" s="162">
        <f>BF18*'White label websites (WLW)'!$G$4</f>
        <v>3.5999999999999996</v>
      </c>
      <c r="BG19" s="162">
        <f>BG18*'White label websites (WLW)'!$G$4</f>
        <v>3.5999999999999996</v>
      </c>
      <c r="BH19" s="162">
        <f>BH18*'White label websites (WLW)'!$G$4</f>
        <v>3.5999999999999996</v>
      </c>
      <c r="BI19" s="162">
        <f>BI18*'White label websites (WLW)'!$G$4</f>
        <v>3.5999999999999996</v>
      </c>
    </row>
    <row r="20" spans="1:61" s="151" customFormat="1" outlineLevel="1" x14ac:dyDescent="0.25">
      <c r="A20" s="151" t="s">
        <v>213</v>
      </c>
      <c r="B20" s="163">
        <f>B18*'White label websites (WLW)'!$G$5</f>
        <v>0.7</v>
      </c>
      <c r="C20" s="163">
        <f>C18*'White label websites (WLW)'!$G$5</f>
        <v>0.7</v>
      </c>
      <c r="D20" s="163">
        <f>D18*'White label websites (WLW)'!$G$5</f>
        <v>0.7</v>
      </c>
      <c r="E20" s="163">
        <f>E18*'White label websites (WLW)'!$G$5</f>
        <v>0.7</v>
      </c>
      <c r="F20" s="163">
        <f>F18*'White label websites (WLW)'!$G$5</f>
        <v>0.7</v>
      </c>
      <c r="G20" s="163">
        <f>G18*'White label websites (WLW)'!$G$5</f>
        <v>0.7</v>
      </c>
      <c r="H20" s="163">
        <f>H18*'White label websites (WLW)'!$G$5</f>
        <v>0.7</v>
      </c>
      <c r="I20" s="163">
        <f>I18*'White label websites (WLW)'!$G$5</f>
        <v>2.0999999999999996</v>
      </c>
      <c r="J20" s="163">
        <f>J18*'White label websites (WLW)'!$G$5</f>
        <v>2.8</v>
      </c>
      <c r="K20" s="163">
        <f>K18*'White label websites (WLW)'!$G$5</f>
        <v>4.1999999999999993</v>
      </c>
      <c r="L20" s="163">
        <f>L18*'White label websites (WLW)'!$G$5</f>
        <v>5.6</v>
      </c>
      <c r="M20" s="163">
        <f>M18*'White label websites (WLW)'!$G$5</f>
        <v>7</v>
      </c>
      <c r="N20" s="163">
        <f>N18*'White label websites (WLW)'!$G$5</f>
        <v>7</v>
      </c>
      <c r="O20" s="163">
        <f>O18*'White label websites (WLW)'!$G$5</f>
        <v>7</v>
      </c>
      <c r="P20" s="163">
        <f>P18*'White label websites (WLW)'!$G$5</f>
        <v>7</v>
      </c>
      <c r="Q20" s="163">
        <f>Q18*'White label websites (WLW)'!$G$5</f>
        <v>7</v>
      </c>
      <c r="R20" s="163">
        <f>R18*'White label websites (WLW)'!$G$5</f>
        <v>7</v>
      </c>
      <c r="S20" s="163">
        <f>S18*'White label websites (WLW)'!$G$5</f>
        <v>7</v>
      </c>
      <c r="T20" s="163">
        <f>T18*'White label websites (WLW)'!$G$5</f>
        <v>7</v>
      </c>
      <c r="U20" s="163">
        <f>U18*'White label websites (WLW)'!$G$5</f>
        <v>7</v>
      </c>
      <c r="V20" s="163">
        <f>V18*'White label websites (WLW)'!$G$5</f>
        <v>7</v>
      </c>
      <c r="W20" s="163">
        <f>W18*'White label websites (WLW)'!$G$5</f>
        <v>7.6999999999999993</v>
      </c>
      <c r="X20" s="163">
        <f>X18*'White label websites (WLW)'!$G$5</f>
        <v>7.6999999999999993</v>
      </c>
      <c r="Y20" s="163">
        <f>Y18*'White label websites (WLW)'!$G$5</f>
        <v>7.6999999999999993</v>
      </c>
      <c r="Z20" s="163">
        <f>Z18*'White label websites (WLW)'!$G$5</f>
        <v>7.6999999999999993</v>
      </c>
      <c r="AA20" s="163">
        <f>AA18*'White label websites (WLW)'!$G$5</f>
        <v>7.6999999999999993</v>
      </c>
      <c r="AB20" s="163">
        <f>AB18*'White label websites (WLW)'!$G$5</f>
        <v>7.6999999999999993</v>
      </c>
      <c r="AC20" s="163">
        <f>AC18*'White label websites (WLW)'!$G$5</f>
        <v>7.6999999999999993</v>
      </c>
      <c r="AD20" s="163">
        <f>AD18*'White label websites (WLW)'!$G$5</f>
        <v>7.6999999999999993</v>
      </c>
      <c r="AE20" s="163">
        <f>AE18*'White label websites (WLW)'!$G$5</f>
        <v>7.6999999999999993</v>
      </c>
      <c r="AF20" s="163">
        <f>AF18*'White label websites (WLW)'!$G$5</f>
        <v>7.6999999999999993</v>
      </c>
      <c r="AG20" s="163">
        <f>AG18*'White label websites (WLW)'!$G$5</f>
        <v>7.6999999999999993</v>
      </c>
      <c r="AH20" s="163">
        <f>AH18*'White label websites (WLW)'!$G$5</f>
        <v>7.6999999999999993</v>
      </c>
      <c r="AI20" s="163">
        <f>AI18*'White label websites (WLW)'!$G$5</f>
        <v>7.6999999999999993</v>
      </c>
      <c r="AJ20" s="163">
        <f>AJ18*'White label websites (WLW)'!$G$5</f>
        <v>7.6999999999999993</v>
      </c>
      <c r="AK20" s="163">
        <f>AK18*'White label websites (WLW)'!$G$5</f>
        <v>7.6999999999999993</v>
      </c>
      <c r="AL20" s="163">
        <f>AL18*'White label websites (WLW)'!$G$5</f>
        <v>7.6999999999999993</v>
      </c>
      <c r="AM20" s="163">
        <f>AM18*'White label websites (WLW)'!$G$5</f>
        <v>7.6999999999999993</v>
      </c>
      <c r="AN20" s="163">
        <f>AN18*'White label websites (WLW)'!$G$5</f>
        <v>7.6999999999999993</v>
      </c>
      <c r="AO20" s="163">
        <f>AO18*'White label websites (WLW)'!$G$5</f>
        <v>7.6999999999999993</v>
      </c>
      <c r="AP20" s="163">
        <f>AP18*'White label websites (WLW)'!$G$5</f>
        <v>7.6999999999999993</v>
      </c>
      <c r="AQ20" s="163">
        <f>AQ18*'White label websites (WLW)'!$G$5</f>
        <v>7.6999999999999993</v>
      </c>
      <c r="AR20" s="163">
        <f>AR18*'White label websites (WLW)'!$G$5</f>
        <v>7.6999999999999993</v>
      </c>
      <c r="AS20" s="163">
        <f>AS18*'White label websites (WLW)'!$G$5</f>
        <v>7.6999999999999993</v>
      </c>
      <c r="AT20" s="163">
        <f>AT18*'White label websites (WLW)'!$G$5</f>
        <v>7.6999999999999993</v>
      </c>
      <c r="AU20" s="163">
        <f>AU18*'White label websites (WLW)'!$G$5</f>
        <v>7.6999999999999993</v>
      </c>
      <c r="AV20" s="163">
        <f>AV18*'White label websites (WLW)'!$G$5</f>
        <v>7.6999999999999993</v>
      </c>
      <c r="AW20" s="163">
        <f>AW18*'White label websites (WLW)'!$G$5</f>
        <v>7.6999999999999993</v>
      </c>
      <c r="AX20" s="163">
        <f>AX18*'White label websites (WLW)'!$G$5</f>
        <v>7.6999999999999993</v>
      </c>
      <c r="AY20" s="163">
        <f>AY18*'White label websites (WLW)'!$G$5</f>
        <v>7.6999999999999993</v>
      </c>
      <c r="AZ20" s="163">
        <f>AZ18*'White label websites (WLW)'!$G$5</f>
        <v>7.6999999999999993</v>
      </c>
      <c r="BA20" s="163">
        <f>BA18*'White label websites (WLW)'!$G$5</f>
        <v>8.3999999999999986</v>
      </c>
      <c r="BB20" s="163">
        <f>BB18*'White label websites (WLW)'!$G$5</f>
        <v>8.3999999999999986</v>
      </c>
      <c r="BC20" s="163">
        <f>BC18*'White label websites (WLW)'!$G$5</f>
        <v>8.3999999999999986</v>
      </c>
      <c r="BD20" s="163">
        <f>BD18*'White label websites (WLW)'!$G$5</f>
        <v>8.3999999999999986</v>
      </c>
      <c r="BE20" s="163">
        <f>BE18*'White label websites (WLW)'!$G$5</f>
        <v>8.3999999999999986</v>
      </c>
      <c r="BF20" s="163">
        <f>BF18*'White label websites (WLW)'!$G$5</f>
        <v>8.3999999999999986</v>
      </c>
      <c r="BG20" s="163">
        <f>BG18*'White label websites (WLW)'!$G$5</f>
        <v>8.3999999999999986</v>
      </c>
      <c r="BH20" s="163">
        <f>BH18*'White label websites (WLW)'!$G$5</f>
        <v>8.3999999999999986</v>
      </c>
      <c r="BI20" s="163">
        <f>BI18*'White label websites (WLW)'!$G$5</f>
        <v>8.3999999999999986</v>
      </c>
    </row>
    <row r="21" spans="1:61" s="150" customFormat="1" outlineLevel="1" x14ac:dyDescent="0.25">
      <c r="A21" s="150" t="s">
        <v>310</v>
      </c>
      <c r="B21" s="164">
        <f>B18</f>
        <v>1</v>
      </c>
      <c r="C21" s="164">
        <f>B21+C18</f>
        <v>2</v>
      </c>
      <c r="D21" s="164">
        <f t="shared" ref="D21:M21" si="0">C21+D18</f>
        <v>3</v>
      </c>
      <c r="E21" s="164">
        <f t="shared" si="0"/>
        <v>4</v>
      </c>
      <c r="F21" s="164">
        <f t="shared" si="0"/>
        <v>5</v>
      </c>
      <c r="G21" s="164">
        <f t="shared" si="0"/>
        <v>6</v>
      </c>
      <c r="H21" s="164">
        <f t="shared" si="0"/>
        <v>7</v>
      </c>
      <c r="I21" s="164">
        <f t="shared" si="0"/>
        <v>10</v>
      </c>
      <c r="J21" s="164">
        <f t="shared" si="0"/>
        <v>14</v>
      </c>
      <c r="K21" s="164">
        <f t="shared" si="0"/>
        <v>20</v>
      </c>
      <c r="L21" s="164">
        <f t="shared" si="0"/>
        <v>28</v>
      </c>
      <c r="M21" s="164">
        <f t="shared" si="0"/>
        <v>38</v>
      </c>
      <c r="N21" s="164">
        <f t="shared" ref="N21" si="1">M21+N18</f>
        <v>48</v>
      </c>
      <c r="O21" s="164">
        <f t="shared" ref="O21" si="2">N21+O18</f>
        <v>58</v>
      </c>
      <c r="P21" s="164">
        <f t="shared" ref="P21" si="3">O21+P18</f>
        <v>68</v>
      </c>
      <c r="Q21" s="164">
        <f t="shared" ref="Q21" si="4">P21+Q18</f>
        <v>78</v>
      </c>
      <c r="R21" s="164">
        <f t="shared" ref="R21" si="5">Q21+R18</f>
        <v>88</v>
      </c>
      <c r="S21" s="164">
        <f t="shared" ref="S21" si="6">R21+S18</f>
        <v>98</v>
      </c>
      <c r="T21" s="164">
        <f t="shared" ref="T21" si="7">S21+T18</f>
        <v>108</v>
      </c>
      <c r="U21" s="164">
        <f t="shared" ref="U21" si="8">T21+U18</f>
        <v>118</v>
      </c>
      <c r="V21" s="164">
        <f t="shared" ref="V21" si="9">U21+V18</f>
        <v>128</v>
      </c>
      <c r="W21" s="164">
        <f t="shared" ref="W21" si="10">V21+W18</f>
        <v>139</v>
      </c>
      <c r="X21" s="164">
        <f t="shared" ref="X21" si="11">W21+X18</f>
        <v>150</v>
      </c>
      <c r="Y21" s="164">
        <f t="shared" ref="Y21" si="12">X21+Y18</f>
        <v>161</v>
      </c>
      <c r="Z21" s="164">
        <f t="shared" ref="Z21" si="13">Y21+Z18</f>
        <v>172</v>
      </c>
      <c r="AA21" s="164">
        <f t="shared" ref="AA21" si="14">Z21+AA18</f>
        <v>183</v>
      </c>
      <c r="AB21" s="164">
        <f t="shared" ref="AB21" si="15">AA21+AB18</f>
        <v>194</v>
      </c>
      <c r="AC21" s="164">
        <f t="shared" ref="AC21" si="16">AB21+AC18</f>
        <v>205</v>
      </c>
      <c r="AD21" s="164">
        <f t="shared" ref="AD21" si="17">AC21+AD18</f>
        <v>216</v>
      </c>
      <c r="AE21" s="164">
        <f t="shared" ref="AE21" si="18">AD21+AE18</f>
        <v>227</v>
      </c>
      <c r="AF21" s="164">
        <f t="shared" ref="AF21" si="19">AE21+AF18</f>
        <v>238</v>
      </c>
      <c r="AG21" s="164">
        <f t="shared" ref="AG21" si="20">AF21+AG18</f>
        <v>249</v>
      </c>
      <c r="AH21" s="164">
        <f t="shared" ref="AH21" si="21">AG21+AH18</f>
        <v>260</v>
      </c>
      <c r="AI21" s="164">
        <f t="shared" ref="AI21" si="22">AH21+AI18</f>
        <v>271</v>
      </c>
      <c r="AJ21" s="164">
        <f t="shared" ref="AJ21" si="23">AI21+AJ18</f>
        <v>282</v>
      </c>
      <c r="AK21" s="164">
        <f t="shared" ref="AK21" si="24">AJ21+AK18</f>
        <v>293</v>
      </c>
      <c r="AL21" s="164">
        <f t="shared" ref="AL21" si="25">AK21+AL18</f>
        <v>304</v>
      </c>
      <c r="AM21" s="164">
        <f t="shared" ref="AM21" si="26">AL21+AM18</f>
        <v>315</v>
      </c>
      <c r="AN21" s="164">
        <f t="shared" ref="AN21" si="27">AM21+AN18</f>
        <v>326</v>
      </c>
      <c r="AO21" s="164">
        <f t="shared" ref="AO21" si="28">AN21+AO18</f>
        <v>337</v>
      </c>
      <c r="AP21" s="164">
        <f t="shared" ref="AP21" si="29">AO21+AP18</f>
        <v>348</v>
      </c>
      <c r="AQ21" s="164">
        <f t="shared" ref="AQ21" si="30">AP21+AQ18</f>
        <v>359</v>
      </c>
      <c r="AR21" s="164">
        <f t="shared" ref="AR21" si="31">AQ21+AR18</f>
        <v>370</v>
      </c>
      <c r="AS21" s="164">
        <f t="shared" ref="AS21" si="32">AR21+AS18</f>
        <v>381</v>
      </c>
      <c r="AT21" s="164">
        <f t="shared" ref="AT21" si="33">AS21+AT18</f>
        <v>392</v>
      </c>
      <c r="AU21" s="164">
        <f t="shared" ref="AU21" si="34">AT21+AU18</f>
        <v>403</v>
      </c>
      <c r="AV21" s="164">
        <f t="shared" ref="AV21" si="35">AU21+AV18</f>
        <v>414</v>
      </c>
      <c r="AW21" s="164">
        <f t="shared" ref="AW21" si="36">AV21+AW18</f>
        <v>425</v>
      </c>
      <c r="AX21" s="164">
        <f t="shared" ref="AX21" si="37">AW21+AX18</f>
        <v>436</v>
      </c>
      <c r="AY21" s="164">
        <f t="shared" ref="AY21" si="38">AX21+AY18</f>
        <v>447</v>
      </c>
      <c r="AZ21" s="164">
        <f t="shared" ref="AZ21" si="39">AY21+AZ18</f>
        <v>458</v>
      </c>
      <c r="BA21" s="164">
        <f t="shared" ref="BA21" si="40">AZ21+BA18</f>
        <v>470</v>
      </c>
      <c r="BB21" s="164">
        <f t="shared" ref="BB21" si="41">BA21+BB18</f>
        <v>482</v>
      </c>
      <c r="BC21" s="164">
        <f t="shared" ref="BC21" si="42">BB21+BC18</f>
        <v>494</v>
      </c>
      <c r="BD21" s="164">
        <f t="shared" ref="BD21" si="43">BC21+BD18</f>
        <v>506</v>
      </c>
      <c r="BE21" s="164">
        <f t="shared" ref="BE21" si="44">BD21+BE18</f>
        <v>518</v>
      </c>
      <c r="BF21" s="164">
        <f t="shared" ref="BF21" si="45">BE21+BF18</f>
        <v>530</v>
      </c>
      <c r="BG21" s="164">
        <f t="shared" ref="BG21" si="46">BF21+BG18</f>
        <v>542</v>
      </c>
      <c r="BH21" s="164">
        <f t="shared" ref="BH21" si="47">BG21+BH18</f>
        <v>554</v>
      </c>
      <c r="BI21" s="164">
        <f t="shared" ref="BI21" si="48">BH21+BI18</f>
        <v>566</v>
      </c>
    </row>
    <row r="22" spans="1:61" s="151" customFormat="1" outlineLevel="1" x14ac:dyDescent="0.25">
      <c r="A22" s="151" t="s">
        <v>214</v>
      </c>
      <c r="B22" s="162">
        <f>B21*'White label websites (WLW)'!$G$4</f>
        <v>0.3</v>
      </c>
      <c r="C22" s="162">
        <f>C21*'White label websites (WLW)'!$G$4</f>
        <v>0.6</v>
      </c>
      <c r="D22" s="162">
        <f>D21*'White label websites (WLW)'!$G$4</f>
        <v>0.89999999999999991</v>
      </c>
      <c r="E22" s="162">
        <f>E21*'White label websites (WLW)'!$G$4</f>
        <v>1.2</v>
      </c>
      <c r="F22" s="162">
        <f>F21*'White label websites (WLW)'!$G$4</f>
        <v>1.5</v>
      </c>
      <c r="G22" s="162">
        <f>G21*'White label websites (WLW)'!$G$4</f>
        <v>1.7999999999999998</v>
      </c>
      <c r="H22" s="162">
        <f>H21*'White label websites (WLW)'!$G$4</f>
        <v>2.1</v>
      </c>
      <c r="I22" s="162">
        <f>I21*'White label websites (WLW)'!$G$4</f>
        <v>3</v>
      </c>
      <c r="J22" s="162">
        <f>J21*'White label websites (WLW)'!$G$4</f>
        <v>4.2</v>
      </c>
      <c r="K22" s="162">
        <f>K21*'White label websites (WLW)'!$G$4</f>
        <v>6</v>
      </c>
      <c r="L22" s="162">
        <f>L21*'White label websites (WLW)'!$G$4</f>
        <v>8.4</v>
      </c>
      <c r="M22" s="162">
        <f>M21*'White label websites (WLW)'!$G$4</f>
        <v>11.4</v>
      </c>
      <c r="N22" s="162">
        <f>N21*'White label websites (WLW)'!$G$4</f>
        <v>14.399999999999999</v>
      </c>
      <c r="O22" s="162">
        <f>O21*'White label websites (WLW)'!$G$4</f>
        <v>17.399999999999999</v>
      </c>
      <c r="P22" s="162">
        <f>P21*'White label websites (WLW)'!$G$4</f>
        <v>20.399999999999999</v>
      </c>
      <c r="Q22" s="162">
        <f>Q21*'White label websites (WLW)'!$G$4</f>
        <v>23.4</v>
      </c>
      <c r="R22" s="162">
        <f>R21*'White label websites (WLW)'!$G$4</f>
        <v>26.4</v>
      </c>
      <c r="S22" s="162">
        <f>S21*'White label websites (WLW)'!$G$4</f>
        <v>29.4</v>
      </c>
      <c r="T22" s="162">
        <f>T21*'White label websites (WLW)'!$G$4</f>
        <v>32.4</v>
      </c>
      <c r="U22" s="162">
        <f>U21*'White label websites (WLW)'!$G$4</f>
        <v>35.4</v>
      </c>
      <c r="V22" s="162">
        <f>V21*'White label websites (WLW)'!$G$4</f>
        <v>38.4</v>
      </c>
      <c r="W22" s="162">
        <f>W21*'White label websites (WLW)'!$G$4</f>
        <v>41.699999999999996</v>
      </c>
      <c r="X22" s="162">
        <f>X21*'White label websites (WLW)'!$G$4</f>
        <v>45</v>
      </c>
      <c r="Y22" s="162">
        <f>Y21*'White label websites (WLW)'!$G$4</f>
        <v>48.3</v>
      </c>
      <c r="Z22" s="162">
        <f>Z21*'White label websites (WLW)'!$G$4</f>
        <v>51.6</v>
      </c>
      <c r="AA22" s="162">
        <f>AA21*'White label websites (WLW)'!$G$4</f>
        <v>54.9</v>
      </c>
      <c r="AB22" s="162">
        <f>AB21*'White label websites (WLW)'!$G$4</f>
        <v>58.199999999999996</v>
      </c>
      <c r="AC22" s="162">
        <f>AC21*'White label websites (WLW)'!$G$4</f>
        <v>61.5</v>
      </c>
      <c r="AD22" s="162">
        <f>AD21*'White label websites (WLW)'!$G$4</f>
        <v>64.8</v>
      </c>
      <c r="AE22" s="162">
        <f>AE21*'White label websites (WLW)'!$G$4</f>
        <v>68.099999999999994</v>
      </c>
      <c r="AF22" s="162">
        <f>AF21*'White label websites (WLW)'!$G$4</f>
        <v>71.399999999999991</v>
      </c>
      <c r="AG22" s="162">
        <f>AG21*'White label websites (WLW)'!$G$4</f>
        <v>74.7</v>
      </c>
      <c r="AH22" s="162">
        <f>AH21*'White label websites (WLW)'!$G$4</f>
        <v>78</v>
      </c>
      <c r="AI22" s="162">
        <f>AI21*'White label websites (WLW)'!$G$4</f>
        <v>81.3</v>
      </c>
      <c r="AJ22" s="162">
        <f>AJ21*'White label websites (WLW)'!$G$4</f>
        <v>84.6</v>
      </c>
      <c r="AK22" s="162">
        <f>AK21*'White label websites (WLW)'!$G$4</f>
        <v>87.899999999999991</v>
      </c>
      <c r="AL22" s="162">
        <f>AL21*'White label websites (WLW)'!$G$4</f>
        <v>91.2</v>
      </c>
      <c r="AM22" s="162">
        <f>AM21*'White label websites (WLW)'!$G$4</f>
        <v>94.5</v>
      </c>
      <c r="AN22" s="162">
        <f>AN21*'White label websites (WLW)'!$G$4</f>
        <v>97.8</v>
      </c>
      <c r="AO22" s="162">
        <f>AO21*'White label websites (WLW)'!$G$4</f>
        <v>101.1</v>
      </c>
      <c r="AP22" s="162">
        <f>AP21*'White label websites (WLW)'!$G$4</f>
        <v>104.39999999999999</v>
      </c>
      <c r="AQ22" s="162">
        <f>AQ21*'White label websites (WLW)'!$G$4</f>
        <v>107.7</v>
      </c>
      <c r="AR22" s="162">
        <f>AR21*'White label websites (WLW)'!$G$4</f>
        <v>111</v>
      </c>
      <c r="AS22" s="162">
        <f>AS21*'White label websites (WLW)'!$G$4</f>
        <v>114.3</v>
      </c>
      <c r="AT22" s="162">
        <f>AT21*'White label websites (WLW)'!$G$4</f>
        <v>117.6</v>
      </c>
      <c r="AU22" s="162">
        <f>AU21*'White label websites (WLW)'!$G$4</f>
        <v>120.89999999999999</v>
      </c>
      <c r="AV22" s="162">
        <f>AV21*'White label websites (WLW)'!$G$4</f>
        <v>124.19999999999999</v>
      </c>
      <c r="AW22" s="162">
        <f>AW21*'White label websites (WLW)'!$G$4</f>
        <v>127.5</v>
      </c>
      <c r="AX22" s="162">
        <f>AX21*'White label websites (WLW)'!$G$4</f>
        <v>130.79999999999998</v>
      </c>
      <c r="AY22" s="162">
        <f>AY21*'White label websites (WLW)'!$G$4</f>
        <v>134.1</v>
      </c>
      <c r="AZ22" s="162">
        <f>AZ21*'White label websites (WLW)'!$G$4</f>
        <v>137.4</v>
      </c>
      <c r="BA22" s="162">
        <f>BA21*'White label websites (WLW)'!$G$4</f>
        <v>141</v>
      </c>
      <c r="BB22" s="162">
        <f>BB21*'White label websites (WLW)'!$G$4</f>
        <v>144.6</v>
      </c>
      <c r="BC22" s="162">
        <f>BC21*'White label websites (WLW)'!$G$4</f>
        <v>148.19999999999999</v>
      </c>
      <c r="BD22" s="162">
        <f>BD21*'White label websites (WLW)'!$G$4</f>
        <v>151.79999999999998</v>
      </c>
      <c r="BE22" s="162">
        <f>BE21*'White label websites (WLW)'!$G$4</f>
        <v>155.4</v>
      </c>
      <c r="BF22" s="162">
        <f>BF21*'White label websites (WLW)'!$G$4</f>
        <v>159</v>
      </c>
      <c r="BG22" s="162">
        <f>BG21*'White label websites (WLW)'!$G$4</f>
        <v>162.6</v>
      </c>
      <c r="BH22" s="162">
        <f>BH21*'White label websites (WLW)'!$G$4</f>
        <v>166.2</v>
      </c>
      <c r="BI22" s="162">
        <f>BI21*'White label websites (WLW)'!$G$4</f>
        <v>169.79999999999998</v>
      </c>
    </row>
    <row r="23" spans="1:61" s="151" customFormat="1" outlineLevel="1" x14ac:dyDescent="0.25">
      <c r="A23" s="151" t="s">
        <v>213</v>
      </c>
      <c r="B23" s="163">
        <f>B21*'White label websites (WLW)'!$G$5</f>
        <v>0.7</v>
      </c>
      <c r="C23" s="163">
        <f>C21*'White label websites (WLW)'!$G$5</f>
        <v>1.4</v>
      </c>
      <c r="D23" s="163">
        <f>D21*'White label websites (WLW)'!$G$5</f>
        <v>2.0999999999999996</v>
      </c>
      <c r="E23" s="163">
        <f>E21*'White label websites (WLW)'!$G$5</f>
        <v>2.8</v>
      </c>
      <c r="F23" s="163">
        <f>F21*'White label websites (WLW)'!$G$5</f>
        <v>3.5</v>
      </c>
      <c r="G23" s="163">
        <f>G21*'White label websites (WLW)'!$G$5</f>
        <v>4.1999999999999993</v>
      </c>
      <c r="H23" s="163">
        <f>H21*'White label websites (WLW)'!$G$5</f>
        <v>4.8999999999999995</v>
      </c>
      <c r="I23" s="163">
        <f>I21*'White label websites (WLW)'!$G$5</f>
        <v>7</v>
      </c>
      <c r="J23" s="163">
        <f>J21*'White label websites (WLW)'!$G$5</f>
        <v>9.7999999999999989</v>
      </c>
      <c r="K23" s="163">
        <f>K21*'White label websites (WLW)'!$G$5</f>
        <v>14</v>
      </c>
      <c r="L23" s="163">
        <f>L21*'White label websites (WLW)'!$G$5</f>
        <v>19.599999999999998</v>
      </c>
      <c r="M23" s="163">
        <f>M21*'White label websites (WLW)'!$G$5</f>
        <v>26.599999999999998</v>
      </c>
      <c r="N23" s="163">
        <f>N21*'White label websites (WLW)'!$G$5</f>
        <v>33.599999999999994</v>
      </c>
      <c r="O23" s="163">
        <f>O21*'White label websites (WLW)'!$G$5</f>
        <v>40.599999999999994</v>
      </c>
      <c r="P23" s="163">
        <f>P21*'White label websites (WLW)'!$G$5</f>
        <v>47.599999999999994</v>
      </c>
      <c r="Q23" s="163">
        <f>Q21*'White label websites (WLW)'!$G$5</f>
        <v>54.599999999999994</v>
      </c>
      <c r="R23" s="163">
        <f>R21*'White label websites (WLW)'!$G$5</f>
        <v>61.599999999999994</v>
      </c>
      <c r="S23" s="163">
        <f>S21*'White label websites (WLW)'!$G$5</f>
        <v>68.599999999999994</v>
      </c>
      <c r="T23" s="163">
        <f>T21*'White label websites (WLW)'!$G$5</f>
        <v>75.599999999999994</v>
      </c>
      <c r="U23" s="163">
        <f>U21*'White label websites (WLW)'!$G$5</f>
        <v>82.6</v>
      </c>
      <c r="V23" s="163">
        <f>V21*'White label websites (WLW)'!$G$5</f>
        <v>89.6</v>
      </c>
      <c r="W23" s="163">
        <f>W21*'White label websites (WLW)'!$G$5</f>
        <v>97.3</v>
      </c>
      <c r="X23" s="163">
        <f>X21*'White label websites (WLW)'!$G$5</f>
        <v>105</v>
      </c>
      <c r="Y23" s="163">
        <f>Y21*'White label websites (WLW)'!$G$5</f>
        <v>112.69999999999999</v>
      </c>
      <c r="Z23" s="163">
        <f>Z21*'White label websites (WLW)'!$G$5</f>
        <v>120.39999999999999</v>
      </c>
      <c r="AA23" s="163">
        <f>AA21*'White label websites (WLW)'!$G$5</f>
        <v>128.1</v>
      </c>
      <c r="AB23" s="163">
        <f>AB21*'White label websites (WLW)'!$G$5</f>
        <v>135.79999999999998</v>
      </c>
      <c r="AC23" s="163">
        <f>AC21*'White label websites (WLW)'!$G$5</f>
        <v>143.5</v>
      </c>
      <c r="AD23" s="163">
        <f>AD21*'White label websites (WLW)'!$G$5</f>
        <v>151.19999999999999</v>
      </c>
      <c r="AE23" s="163">
        <f>AE21*'White label websites (WLW)'!$G$5</f>
        <v>158.89999999999998</v>
      </c>
      <c r="AF23" s="163">
        <f>AF21*'White label websites (WLW)'!$G$5</f>
        <v>166.6</v>
      </c>
      <c r="AG23" s="163">
        <f>AG21*'White label websites (WLW)'!$G$5</f>
        <v>174.29999999999998</v>
      </c>
      <c r="AH23" s="163">
        <f>AH21*'White label websites (WLW)'!$G$5</f>
        <v>182</v>
      </c>
      <c r="AI23" s="163">
        <f>AI21*'White label websites (WLW)'!$G$5</f>
        <v>189.7</v>
      </c>
      <c r="AJ23" s="163">
        <f>AJ21*'White label websites (WLW)'!$G$5</f>
        <v>197.39999999999998</v>
      </c>
      <c r="AK23" s="163">
        <f>AK21*'White label websites (WLW)'!$G$5</f>
        <v>205.1</v>
      </c>
      <c r="AL23" s="163">
        <f>AL21*'White label websites (WLW)'!$G$5</f>
        <v>212.79999999999998</v>
      </c>
      <c r="AM23" s="163">
        <f>AM21*'White label websites (WLW)'!$G$5</f>
        <v>220.5</v>
      </c>
      <c r="AN23" s="163">
        <f>AN21*'White label websites (WLW)'!$G$5</f>
        <v>228.2</v>
      </c>
      <c r="AO23" s="163">
        <f>AO21*'White label websites (WLW)'!$G$5</f>
        <v>235.89999999999998</v>
      </c>
      <c r="AP23" s="163">
        <f>AP21*'White label websites (WLW)'!$G$5</f>
        <v>243.6</v>
      </c>
      <c r="AQ23" s="163">
        <f>AQ21*'White label websites (WLW)'!$G$5</f>
        <v>251.29999999999998</v>
      </c>
      <c r="AR23" s="163">
        <f>AR21*'White label websites (WLW)'!$G$5</f>
        <v>259</v>
      </c>
      <c r="AS23" s="163">
        <f>AS21*'White label websites (WLW)'!$G$5</f>
        <v>266.7</v>
      </c>
      <c r="AT23" s="163">
        <f>AT21*'White label websites (WLW)'!$G$5</f>
        <v>274.39999999999998</v>
      </c>
      <c r="AU23" s="163">
        <f>AU21*'White label websites (WLW)'!$G$5</f>
        <v>282.09999999999997</v>
      </c>
      <c r="AV23" s="163">
        <f>AV21*'White label websites (WLW)'!$G$5</f>
        <v>289.79999999999995</v>
      </c>
      <c r="AW23" s="163">
        <f>AW21*'White label websites (WLW)'!$G$5</f>
        <v>297.5</v>
      </c>
      <c r="AX23" s="163">
        <f>AX21*'White label websites (WLW)'!$G$5</f>
        <v>305.2</v>
      </c>
      <c r="AY23" s="163">
        <f>AY21*'White label websites (WLW)'!$G$5</f>
        <v>312.89999999999998</v>
      </c>
      <c r="AZ23" s="163">
        <f>AZ21*'White label websites (WLW)'!$G$5</f>
        <v>320.59999999999997</v>
      </c>
      <c r="BA23" s="163">
        <f>BA21*'White label websites (WLW)'!$G$5</f>
        <v>329</v>
      </c>
      <c r="BB23" s="163">
        <f>BB21*'White label websites (WLW)'!$G$5</f>
        <v>337.4</v>
      </c>
      <c r="BC23" s="163">
        <f>BC21*'White label websites (WLW)'!$G$5</f>
        <v>345.79999999999995</v>
      </c>
      <c r="BD23" s="163">
        <f>BD21*'White label websites (WLW)'!$G$5</f>
        <v>354.2</v>
      </c>
      <c r="BE23" s="163">
        <f>BE21*'White label websites (WLW)'!$G$5</f>
        <v>362.59999999999997</v>
      </c>
      <c r="BF23" s="163">
        <f>BF21*'White label websites (WLW)'!$G$5</f>
        <v>371</v>
      </c>
      <c r="BG23" s="163">
        <f>BG21*'White label websites (WLW)'!$G$5</f>
        <v>379.4</v>
      </c>
      <c r="BH23" s="163">
        <f>BH21*'White label websites (WLW)'!$G$5</f>
        <v>387.79999999999995</v>
      </c>
      <c r="BI23" s="163">
        <f>BI21*'White label websites (WLW)'!$G$5</f>
        <v>396.2</v>
      </c>
    </row>
    <row r="24" spans="1:61" s="151" customFormat="1" outlineLevel="1" x14ac:dyDescent="0.25"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</row>
    <row r="25" spans="1:61" s="150" customFormat="1" outlineLevel="1" x14ac:dyDescent="0.25">
      <c r="A25" s="150" t="s">
        <v>311</v>
      </c>
      <c r="B25" s="165"/>
      <c r="H25" s="166"/>
      <c r="I25" s="167"/>
      <c r="J25" s="167"/>
    </row>
    <row r="26" spans="1:61" s="151" customFormat="1" outlineLevel="1" x14ac:dyDescent="0.25">
      <c r="A26" s="151" t="s">
        <v>312</v>
      </c>
      <c r="B26" s="151">
        <f>(B19*$B$4)+(B20*$B$5)</f>
        <v>195</v>
      </c>
      <c r="C26" s="151">
        <f t="shared" ref="C26:M26" si="49">(C19*$B$4)+(C20*$B$5)</f>
        <v>195</v>
      </c>
      <c r="D26" s="151">
        <f t="shared" si="49"/>
        <v>195</v>
      </c>
      <c r="E26" s="151">
        <f t="shared" si="49"/>
        <v>195</v>
      </c>
      <c r="F26" s="151">
        <f t="shared" si="49"/>
        <v>195</v>
      </c>
      <c r="G26" s="151">
        <f t="shared" si="49"/>
        <v>195</v>
      </c>
      <c r="H26" s="151">
        <f t="shared" si="49"/>
        <v>195</v>
      </c>
      <c r="I26" s="151">
        <f t="shared" si="49"/>
        <v>585</v>
      </c>
      <c r="J26" s="151">
        <f t="shared" si="49"/>
        <v>780</v>
      </c>
      <c r="K26" s="151">
        <f t="shared" si="49"/>
        <v>1170</v>
      </c>
      <c r="L26" s="151">
        <f t="shared" si="49"/>
        <v>1560</v>
      </c>
      <c r="M26" s="151">
        <f t="shared" si="49"/>
        <v>1950</v>
      </c>
      <c r="N26" s="151">
        <f t="shared" ref="N26:T26" si="50">(N19*$B$4)+(N20*$B$5)</f>
        <v>1950</v>
      </c>
      <c r="O26" s="151">
        <f t="shared" si="50"/>
        <v>1950</v>
      </c>
      <c r="P26" s="151">
        <f t="shared" si="50"/>
        <v>1950</v>
      </c>
      <c r="Q26" s="151">
        <f t="shared" si="50"/>
        <v>1950</v>
      </c>
      <c r="R26" s="151">
        <f t="shared" si="50"/>
        <v>1950</v>
      </c>
      <c r="S26" s="151">
        <f t="shared" si="50"/>
        <v>1950</v>
      </c>
      <c r="T26" s="151">
        <f t="shared" si="50"/>
        <v>1950</v>
      </c>
      <c r="U26" s="151">
        <f t="shared" ref="U26:BI26" si="51">(U19*$B$4)+(U20*$B$5)</f>
        <v>1950</v>
      </c>
      <c r="V26" s="151">
        <f t="shared" si="51"/>
        <v>1950</v>
      </c>
      <c r="W26" s="151">
        <f t="shared" si="51"/>
        <v>2145</v>
      </c>
      <c r="X26" s="151">
        <f t="shared" si="51"/>
        <v>2145</v>
      </c>
      <c r="Y26" s="151">
        <f t="shared" si="51"/>
        <v>2145</v>
      </c>
      <c r="Z26" s="151">
        <f t="shared" si="51"/>
        <v>2145</v>
      </c>
      <c r="AA26" s="151">
        <f t="shared" si="51"/>
        <v>2145</v>
      </c>
      <c r="AB26" s="151">
        <f t="shared" si="51"/>
        <v>2145</v>
      </c>
      <c r="AC26" s="151">
        <f t="shared" si="51"/>
        <v>2145</v>
      </c>
      <c r="AD26" s="151">
        <f t="shared" si="51"/>
        <v>2145</v>
      </c>
      <c r="AE26" s="151">
        <f t="shared" si="51"/>
        <v>2145</v>
      </c>
      <c r="AF26" s="151">
        <f t="shared" si="51"/>
        <v>2145</v>
      </c>
      <c r="AG26" s="151">
        <f t="shared" si="51"/>
        <v>2145</v>
      </c>
      <c r="AH26" s="151">
        <f t="shared" si="51"/>
        <v>2145</v>
      </c>
      <c r="AI26" s="151">
        <f t="shared" si="51"/>
        <v>2145</v>
      </c>
      <c r="AJ26" s="151">
        <f t="shared" si="51"/>
        <v>2145</v>
      </c>
      <c r="AK26" s="151">
        <f t="shared" si="51"/>
        <v>2145</v>
      </c>
      <c r="AL26" s="151">
        <f t="shared" si="51"/>
        <v>2145</v>
      </c>
      <c r="AM26" s="151">
        <f t="shared" si="51"/>
        <v>2145</v>
      </c>
      <c r="AN26" s="151">
        <f t="shared" si="51"/>
        <v>2145</v>
      </c>
      <c r="AO26" s="151">
        <f t="shared" si="51"/>
        <v>2145</v>
      </c>
      <c r="AP26" s="151">
        <f t="shared" si="51"/>
        <v>2145</v>
      </c>
      <c r="AQ26" s="151">
        <f t="shared" si="51"/>
        <v>2145</v>
      </c>
      <c r="AR26" s="151">
        <f t="shared" si="51"/>
        <v>2145</v>
      </c>
      <c r="AS26" s="151">
        <f t="shared" si="51"/>
        <v>2145</v>
      </c>
      <c r="AT26" s="151">
        <f t="shared" si="51"/>
        <v>2145</v>
      </c>
      <c r="AU26" s="151">
        <f t="shared" si="51"/>
        <v>2145</v>
      </c>
      <c r="AV26" s="151">
        <f t="shared" si="51"/>
        <v>2145</v>
      </c>
      <c r="AW26" s="151">
        <f t="shared" si="51"/>
        <v>2145</v>
      </c>
      <c r="AX26" s="151">
        <f t="shared" si="51"/>
        <v>2145</v>
      </c>
      <c r="AY26" s="151">
        <f t="shared" si="51"/>
        <v>2145</v>
      </c>
      <c r="AZ26" s="151">
        <f t="shared" si="51"/>
        <v>2145</v>
      </c>
      <c r="BA26" s="151">
        <f t="shared" si="51"/>
        <v>2340</v>
      </c>
      <c r="BB26" s="151">
        <f t="shared" si="51"/>
        <v>2340</v>
      </c>
      <c r="BC26" s="151">
        <f t="shared" si="51"/>
        <v>2340</v>
      </c>
      <c r="BD26" s="151">
        <f t="shared" si="51"/>
        <v>2340</v>
      </c>
      <c r="BE26" s="151">
        <f t="shared" si="51"/>
        <v>2340</v>
      </c>
      <c r="BF26" s="151">
        <f t="shared" si="51"/>
        <v>2340</v>
      </c>
      <c r="BG26" s="151">
        <f t="shared" si="51"/>
        <v>2340</v>
      </c>
      <c r="BH26" s="151">
        <f t="shared" si="51"/>
        <v>2340</v>
      </c>
      <c r="BI26" s="151">
        <f t="shared" si="51"/>
        <v>2340</v>
      </c>
    </row>
    <row r="27" spans="1:61" s="151" customFormat="1" outlineLevel="1" x14ac:dyDescent="0.25">
      <c r="A27" s="151" t="s">
        <v>314</v>
      </c>
      <c r="B27" s="151">
        <f>B26</f>
        <v>195</v>
      </c>
      <c r="C27" s="151">
        <f>B27+C26</f>
        <v>390</v>
      </c>
      <c r="D27" s="168">
        <f>C27+D26+C28</f>
        <v>643.5</v>
      </c>
      <c r="E27" s="168">
        <f>D27+E26+D28</f>
        <v>935.02499999999998</v>
      </c>
      <c r="F27" s="168">
        <f t="shared" ref="F27:M27" si="52">E27+F26+E28</f>
        <v>1270.2787500000002</v>
      </c>
      <c r="G27" s="168">
        <f t="shared" si="52"/>
        <v>1655.8205625000003</v>
      </c>
      <c r="H27" s="168">
        <f t="shared" si="52"/>
        <v>2099.1936468750005</v>
      </c>
      <c r="I27" s="168">
        <f t="shared" si="52"/>
        <v>2999.0726939062506</v>
      </c>
      <c r="J27" s="168">
        <f t="shared" si="52"/>
        <v>4228.933597992188</v>
      </c>
      <c r="K27" s="168">
        <f t="shared" si="52"/>
        <v>6033.2736376910161</v>
      </c>
      <c r="L27" s="168">
        <f t="shared" si="52"/>
        <v>8498.2646833446688</v>
      </c>
      <c r="M27" s="168">
        <f t="shared" si="52"/>
        <v>11723.004385846369</v>
      </c>
      <c r="N27" s="168">
        <f t="shared" ref="N27" si="53">M27+N26+M28</f>
        <v>15431.455043723325</v>
      </c>
      <c r="O27" s="168">
        <f t="shared" ref="O27" si="54">N27+O26+N28</f>
        <v>19696.173300281826</v>
      </c>
      <c r="P27" s="168">
        <f t="shared" ref="P27" si="55">O27+P26+O28</f>
        <v>24600.5992953241</v>
      </c>
      <c r="Q27" s="168">
        <f t="shared" ref="Q27" si="56">P27+Q26+P28</f>
        <v>30240.689189622717</v>
      </c>
      <c r="R27" s="168">
        <f t="shared" ref="R27" si="57">Q27+R26+Q28</f>
        <v>36726.792568066128</v>
      </c>
      <c r="S27" s="168">
        <f t="shared" ref="S27" si="58">R27+S26+R28</f>
        <v>44185.811453276045</v>
      </c>
      <c r="T27" s="168">
        <f t="shared" ref="T27" si="59">S27+T26+S28</f>
        <v>52763.683171267454</v>
      </c>
      <c r="U27" s="168">
        <f t="shared" ref="U27" si="60">T27+U26+T28</f>
        <v>62628.235646957575</v>
      </c>
      <c r="V27" s="168">
        <f t="shared" ref="V27" si="61">U27+V26+U28</f>
        <v>73972.470994001211</v>
      </c>
      <c r="W27" s="168">
        <f t="shared" ref="W27" si="62">V27+W26+V28</f>
        <v>87213.34164310139</v>
      </c>
      <c r="X27" s="168">
        <f t="shared" ref="X27" si="63">W27+X26+W28</f>
        <v>102440.3428895666</v>
      </c>
      <c r="Y27" s="168">
        <f t="shared" ref="Y27" si="64">X27+Y26+X28</f>
        <v>119951.39432300159</v>
      </c>
      <c r="Z27" s="168">
        <f t="shared" ref="Z27" si="65">Y27+Z26+Y28</f>
        <v>140089.10347145182</v>
      </c>
      <c r="AA27" s="168">
        <f t="shared" ref="AA27" si="66">Z27+AA26+Z28</f>
        <v>163247.4689921696</v>
      </c>
      <c r="AB27" s="168">
        <f t="shared" ref="AB27" si="67">AA27+AB26+AA28</f>
        <v>189879.58934099504</v>
      </c>
      <c r="AC27" s="168">
        <f t="shared" ref="AC27" si="68">AB27+AC26+AB28</f>
        <v>220506.5277421443</v>
      </c>
      <c r="AD27" s="168">
        <f t="shared" ref="AD27" si="69">AC27+AD26+AC28</f>
        <v>255727.50690346595</v>
      </c>
      <c r="AE27" s="168">
        <f t="shared" ref="AE27" si="70">AD27+AE26+AD28</f>
        <v>296231.63293898583</v>
      </c>
      <c r="AF27" s="168">
        <f t="shared" ref="AF27" si="71">AE27+AF26+AE28</f>
        <v>342811.37787983369</v>
      </c>
      <c r="AG27" s="168">
        <f t="shared" ref="AG27" si="72">AF27+AG26+AF28</f>
        <v>396378.08456180873</v>
      </c>
      <c r="AH27" s="168">
        <f t="shared" ref="AH27" si="73">AG27+AH26+AG28</f>
        <v>457979.79724608001</v>
      </c>
      <c r="AI27" s="168">
        <f t="shared" ref="AI27" si="74">AH27+AI26+AH28</f>
        <v>528821.76683299197</v>
      </c>
      <c r="AJ27" s="168">
        <f t="shared" ref="AJ27" si="75">AI27+AJ26+AI28</f>
        <v>610290.03185794072</v>
      </c>
      <c r="AK27" s="168">
        <f t="shared" ref="AK27" si="76">AJ27+AK26+AJ28</f>
        <v>703978.53663663182</v>
      </c>
      <c r="AL27" s="168">
        <f t="shared" ref="AL27" si="77">AK27+AL26+AK28</f>
        <v>811720.31713212654</v>
      </c>
      <c r="AM27" s="168">
        <f t="shared" ref="AM27" si="78">AL27+AM26+AL28</f>
        <v>935623.36470194557</v>
      </c>
      <c r="AN27" s="168">
        <f t="shared" ref="AN27" si="79">AM27+AN26+AM28</f>
        <v>1078111.8694072375</v>
      </c>
      <c r="AO27" s="168">
        <f t="shared" ref="AO27" si="80">AN27+AO26+AN28</f>
        <v>1241973.6498183231</v>
      </c>
      <c r="AP27" s="168">
        <f t="shared" ref="AP27" si="81">AO27+AP26+AO28</f>
        <v>1430414.6972910715</v>
      </c>
      <c r="AQ27" s="168">
        <f t="shared" ref="AQ27" si="82">AP27+AQ26+AP28</f>
        <v>1647121.9018847323</v>
      </c>
      <c r="AR27" s="168">
        <f t="shared" ref="AR27" si="83">AQ27+AR26+AQ28</f>
        <v>1896335.1871674422</v>
      </c>
      <c r="AS27" s="168">
        <f t="shared" ref="AS27" si="84">AR27+AS26+AR28</f>
        <v>2182930.4652425586</v>
      </c>
      <c r="AT27" s="168">
        <f t="shared" ref="AT27" si="85">AS27+AT26+AS28</f>
        <v>2512515.0350289424</v>
      </c>
      <c r="AU27" s="168">
        <f t="shared" ref="AU27" si="86">AT27+AU26+AT28</f>
        <v>2891537.2902832837</v>
      </c>
      <c r="AV27" s="168">
        <f t="shared" ref="AV27" si="87">AU27+AV26+AU28</f>
        <v>3327412.8838257762</v>
      </c>
      <c r="AW27" s="168">
        <f t="shared" ref="AW27" si="88">AV27+AW26+AV28</f>
        <v>3828669.8163996427</v>
      </c>
      <c r="AX27" s="168">
        <f t="shared" ref="AX27" si="89">AW27+AX26+AW28</f>
        <v>4405115.288859589</v>
      </c>
      <c r="AY27" s="168">
        <f t="shared" ref="AY27" si="90">AX27+AY26+AX28</f>
        <v>5068027.5821885271</v>
      </c>
      <c r="AZ27" s="168">
        <f t="shared" ref="AZ27" si="91">AY27+AZ26+AY28</f>
        <v>5830376.7195168063</v>
      </c>
      <c r="BA27" s="168">
        <f t="shared" ref="BA27" si="92">AZ27+BA26+AZ28</f>
        <v>6707273.2274443274</v>
      </c>
      <c r="BB27" s="168">
        <f t="shared" ref="BB27" si="93">BA27+BB26+BA28</f>
        <v>7715704.2115609767</v>
      </c>
      <c r="BC27" s="168">
        <f t="shared" ref="BC27" si="94">BB27+BC26+BB28</f>
        <v>8875399.8432951234</v>
      </c>
      <c r="BD27" s="168">
        <f t="shared" ref="BD27" si="95">BC27+BD26+BC28</f>
        <v>10209049.819789391</v>
      </c>
      <c r="BE27" s="168">
        <f t="shared" ref="BE27" si="96">BD27+BE26+BD28</f>
        <v>11742747.2927578</v>
      </c>
      <c r="BF27" s="168">
        <f t="shared" ref="BF27" si="97">BE27+BF26+BE28</f>
        <v>13506499.38667147</v>
      </c>
      <c r="BG27" s="168">
        <f t="shared" ref="BG27" si="98">BF27+BG26+BF28</f>
        <v>15534814.294672191</v>
      </c>
      <c r="BH27" s="168">
        <f t="shared" ref="BH27" si="99">BG27+BH26+BG28</f>
        <v>17867376.438873019</v>
      </c>
      <c r="BI27" s="168">
        <f t="shared" ref="BI27" si="100">BH27+BI26+BH28</f>
        <v>20549822.904703971</v>
      </c>
    </row>
    <row r="28" spans="1:61" s="151" customFormat="1" outlineLevel="1" x14ac:dyDescent="0.25">
      <c r="A28" s="151" t="s">
        <v>313</v>
      </c>
      <c r="B28" s="155"/>
      <c r="C28" s="151">
        <f>C27*$B$6</f>
        <v>58.5</v>
      </c>
      <c r="D28" s="168">
        <f t="shared" ref="D28:M28" si="101">D27*$B$6</f>
        <v>96.524999999999991</v>
      </c>
      <c r="E28" s="168">
        <f t="shared" si="101"/>
        <v>140.25375</v>
      </c>
      <c r="F28" s="168">
        <f t="shared" si="101"/>
        <v>190.54181250000002</v>
      </c>
      <c r="G28" s="168">
        <f t="shared" si="101"/>
        <v>248.37308437500002</v>
      </c>
      <c r="H28" s="168">
        <f t="shared" si="101"/>
        <v>314.87904703125008</v>
      </c>
      <c r="I28" s="168">
        <f t="shared" si="101"/>
        <v>449.86090408593759</v>
      </c>
      <c r="J28" s="168">
        <f t="shared" si="101"/>
        <v>634.34003969882815</v>
      </c>
      <c r="K28" s="168">
        <f t="shared" si="101"/>
        <v>904.99104565365235</v>
      </c>
      <c r="L28" s="168">
        <f t="shared" si="101"/>
        <v>1274.7397025017003</v>
      </c>
      <c r="M28" s="168">
        <f t="shared" si="101"/>
        <v>1758.4506578769553</v>
      </c>
      <c r="N28" s="168">
        <f t="shared" ref="N28:T28" si="102">N27*$B$6</f>
        <v>2314.7182565584985</v>
      </c>
      <c r="O28" s="168">
        <f t="shared" si="102"/>
        <v>2954.4259950422738</v>
      </c>
      <c r="P28" s="168">
        <f t="shared" si="102"/>
        <v>3690.089894298615</v>
      </c>
      <c r="Q28" s="168">
        <f t="shared" si="102"/>
        <v>4536.1033784434076</v>
      </c>
      <c r="R28" s="168">
        <f t="shared" si="102"/>
        <v>5509.0188852099191</v>
      </c>
      <c r="S28" s="168">
        <f t="shared" si="102"/>
        <v>6627.8717179914065</v>
      </c>
      <c r="T28" s="168">
        <f t="shared" si="102"/>
        <v>7914.5524756901177</v>
      </c>
      <c r="U28" s="168">
        <f t="shared" ref="U28:BI28" si="103">U27*$B$6</f>
        <v>9394.2353470436356</v>
      </c>
      <c r="V28" s="168">
        <f t="shared" si="103"/>
        <v>11095.870649100181</v>
      </c>
      <c r="W28" s="168">
        <f t="shared" si="103"/>
        <v>13082.001246465208</v>
      </c>
      <c r="X28" s="168">
        <f t="shared" si="103"/>
        <v>15366.05143343499</v>
      </c>
      <c r="Y28" s="168">
        <f t="shared" si="103"/>
        <v>17992.709148450238</v>
      </c>
      <c r="Z28" s="168">
        <f t="shared" si="103"/>
        <v>21013.365520717773</v>
      </c>
      <c r="AA28" s="168">
        <f t="shared" si="103"/>
        <v>24487.12034882544</v>
      </c>
      <c r="AB28" s="168">
        <f t="shared" si="103"/>
        <v>28481.938401149255</v>
      </c>
      <c r="AC28" s="168">
        <f t="shared" si="103"/>
        <v>33075.979161321644</v>
      </c>
      <c r="AD28" s="168">
        <f t="shared" si="103"/>
        <v>38359.12603551989</v>
      </c>
      <c r="AE28" s="168">
        <f t="shared" si="103"/>
        <v>44434.744940847871</v>
      </c>
      <c r="AF28" s="168">
        <f t="shared" si="103"/>
        <v>51421.706681975054</v>
      </c>
      <c r="AG28" s="168">
        <f t="shared" si="103"/>
        <v>59456.712684271304</v>
      </c>
      <c r="AH28" s="168">
        <f t="shared" si="103"/>
        <v>68696.969586912004</v>
      </c>
      <c r="AI28" s="168">
        <f t="shared" si="103"/>
        <v>79323.265024948792</v>
      </c>
      <c r="AJ28" s="168">
        <f t="shared" si="103"/>
        <v>91543.504778691102</v>
      </c>
      <c r="AK28" s="168">
        <f t="shared" si="103"/>
        <v>105596.78049549476</v>
      </c>
      <c r="AL28" s="168">
        <f t="shared" si="103"/>
        <v>121758.04756981897</v>
      </c>
      <c r="AM28" s="168">
        <f t="shared" si="103"/>
        <v>140343.50470529182</v>
      </c>
      <c r="AN28" s="168">
        <f t="shared" si="103"/>
        <v>161716.78041108561</v>
      </c>
      <c r="AO28" s="168">
        <f t="shared" si="103"/>
        <v>186296.04747274847</v>
      </c>
      <c r="AP28" s="168">
        <f t="shared" si="103"/>
        <v>214562.20459366072</v>
      </c>
      <c r="AQ28" s="168">
        <f t="shared" si="103"/>
        <v>247068.28528270984</v>
      </c>
      <c r="AR28" s="168">
        <f t="shared" si="103"/>
        <v>284450.27807511634</v>
      </c>
      <c r="AS28" s="168">
        <f t="shared" si="103"/>
        <v>327439.56978638377</v>
      </c>
      <c r="AT28" s="168">
        <f t="shared" si="103"/>
        <v>376877.25525434135</v>
      </c>
      <c r="AU28" s="168">
        <f t="shared" si="103"/>
        <v>433730.59354249254</v>
      </c>
      <c r="AV28" s="168">
        <f t="shared" si="103"/>
        <v>499111.93257386639</v>
      </c>
      <c r="AW28" s="168">
        <f t="shared" si="103"/>
        <v>574300.47245994641</v>
      </c>
      <c r="AX28" s="168">
        <f t="shared" si="103"/>
        <v>660767.29332893831</v>
      </c>
      <c r="AY28" s="168">
        <f t="shared" si="103"/>
        <v>760204.13732827909</v>
      </c>
      <c r="AZ28" s="168">
        <f t="shared" si="103"/>
        <v>874556.5079275209</v>
      </c>
      <c r="BA28" s="168">
        <f t="shared" si="103"/>
        <v>1006090.984116649</v>
      </c>
      <c r="BB28" s="168">
        <f t="shared" si="103"/>
        <v>1157355.6317341465</v>
      </c>
      <c r="BC28" s="168">
        <f t="shared" si="103"/>
        <v>1331309.9764942685</v>
      </c>
      <c r="BD28" s="168">
        <f t="shared" si="103"/>
        <v>1531357.4729684086</v>
      </c>
      <c r="BE28" s="168">
        <f t="shared" si="103"/>
        <v>1761412.0939136699</v>
      </c>
      <c r="BF28" s="168">
        <f t="shared" si="103"/>
        <v>2025974.9080007204</v>
      </c>
      <c r="BG28" s="168">
        <f t="shared" si="103"/>
        <v>2330222.1442008284</v>
      </c>
      <c r="BH28" s="168">
        <f t="shared" si="103"/>
        <v>2680106.4658309529</v>
      </c>
      <c r="BI28" s="168">
        <f t="shared" si="103"/>
        <v>3082473.4357055956</v>
      </c>
    </row>
    <row r="29" spans="1:61" s="150" customFormat="1" x14ac:dyDescent="0.25">
      <c r="A29" s="150" t="s">
        <v>315</v>
      </c>
      <c r="B29" s="169">
        <f>B27</f>
        <v>195</v>
      </c>
      <c r="C29" s="169">
        <f>C28+C27</f>
        <v>448.5</v>
      </c>
      <c r="D29" s="169">
        <f t="shared" ref="D29:M29" si="104">D28+D27</f>
        <v>740.02499999999998</v>
      </c>
      <c r="E29" s="169">
        <f t="shared" si="104"/>
        <v>1075.2787499999999</v>
      </c>
      <c r="F29" s="169">
        <f t="shared" si="104"/>
        <v>1460.8205625000003</v>
      </c>
      <c r="G29" s="169">
        <f t="shared" si="104"/>
        <v>1904.1936468750002</v>
      </c>
      <c r="H29" s="169">
        <f t="shared" si="104"/>
        <v>2414.0726939062506</v>
      </c>
      <c r="I29" s="169">
        <f t="shared" si="104"/>
        <v>3448.933597992188</v>
      </c>
      <c r="J29" s="169">
        <f t="shared" si="104"/>
        <v>4863.2736376910161</v>
      </c>
      <c r="K29" s="169">
        <f t="shared" si="104"/>
        <v>6938.2646833446688</v>
      </c>
      <c r="L29" s="169">
        <f t="shared" si="104"/>
        <v>9773.0043858463687</v>
      </c>
      <c r="M29" s="169">
        <f t="shared" si="104"/>
        <v>13481.455043723325</v>
      </c>
      <c r="N29" s="169">
        <f t="shared" ref="N29:T29" si="105">N28+N27</f>
        <v>17746.173300281822</v>
      </c>
      <c r="O29" s="169">
        <f t="shared" si="105"/>
        <v>22650.5992953241</v>
      </c>
      <c r="P29" s="169">
        <f t="shared" si="105"/>
        <v>28290.689189622717</v>
      </c>
      <c r="Q29" s="169">
        <f t="shared" si="105"/>
        <v>34776.792568066128</v>
      </c>
      <c r="R29" s="169">
        <f t="shared" si="105"/>
        <v>42235.811453276045</v>
      </c>
      <c r="S29" s="169">
        <f t="shared" si="105"/>
        <v>50813.683171267454</v>
      </c>
      <c r="T29" s="169">
        <f t="shared" si="105"/>
        <v>60678.235646957575</v>
      </c>
      <c r="U29" s="169">
        <f t="shared" ref="U29:BI29" si="106">U28+U27</f>
        <v>72022.470994001211</v>
      </c>
      <c r="V29" s="169">
        <f t="shared" si="106"/>
        <v>85068.34164310139</v>
      </c>
      <c r="W29" s="169">
        <f t="shared" si="106"/>
        <v>100295.3428895666</v>
      </c>
      <c r="X29" s="169">
        <f t="shared" si="106"/>
        <v>117806.39432300159</v>
      </c>
      <c r="Y29" s="169">
        <f t="shared" si="106"/>
        <v>137944.10347145182</v>
      </c>
      <c r="Z29" s="169">
        <f t="shared" si="106"/>
        <v>161102.4689921696</v>
      </c>
      <c r="AA29" s="169">
        <f t="shared" si="106"/>
        <v>187734.58934099504</v>
      </c>
      <c r="AB29" s="169">
        <f t="shared" si="106"/>
        <v>218361.5277421443</v>
      </c>
      <c r="AC29" s="169">
        <f t="shared" si="106"/>
        <v>253582.50690346595</v>
      </c>
      <c r="AD29" s="169">
        <f t="shared" si="106"/>
        <v>294086.63293898583</v>
      </c>
      <c r="AE29" s="169">
        <f t="shared" si="106"/>
        <v>340666.37787983369</v>
      </c>
      <c r="AF29" s="169">
        <f t="shared" si="106"/>
        <v>394233.08456180873</v>
      </c>
      <c r="AG29" s="169">
        <f t="shared" si="106"/>
        <v>455834.79724608001</v>
      </c>
      <c r="AH29" s="169">
        <f t="shared" si="106"/>
        <v>526676.76683299197</v>
      </c>
      <c r="AI29" s="169">
        <f t="shared" si="106"/>
        <v>608145.03185794072</v>
      </c>
      <c r="AJ29" s="169">
        <f t="shared" si="106"/>
        <v>701833.53663663182</v>
      </c>
      <c r="AK29" s="169">
        <f t="shared" si="106"/>
        <v>809575.31713212654</v>
      </c>
      <c r="AL29" s="169">
        <f t="shared" si="106"/>
        <v>933478.36470194557</v>
      </c>
      <c r="AM29" s="169">
        <f t="shared" si="106"/>
        <v>1075966.8694072375</v>
      </c>
      <c r="AN29" s="169">
        <f t="shared" si="106"/>
        <v>1239828.6498183231</v>
      </c>
      <c r="AO29" s="169">
        <f t="shared" si="106"/>
        <v>1428269.6972910715</v>
      </c>
      <c r="AP29" s="169">
        <f t="shared" si="106"/>
        <v>1644976.9018847323</v>
      </c>
      <c r="AQ29" s="169">
        <f t="shared" si="106"/>
        <v>1894190.1871674422</v>
      </c>
      <c r="AR29" s="169">
        <f t="shared" si="106"/>
        <v>2180785.4652425586</v>
      </c>
      <c r="AS29" s="169">
        <f t="shared" si="106"/>
        <v>2510370.0350289424</v>
      </c>
      <c r="AT29" s="169">
        <f t="shared" si="106"/>
        <v>2889392.2902832837</v>
      </c>
      <c r="AU29" s="169">
        <f t="shared" si="106"/>
        <v>3325267.8838257762</v>
      </c>
      <c r="AV29" s="169">
        <f t="shared" si="106"/>
        <v>3826524.8163996427</v>
      </c>
      <c r="AW29" s="169">
        <f t="shared" si="106"/>
        <v>4402970.288859589</v>
      </c>
      <c r="AX29" s="169">
        <f t="shared" si="106"/>
        <v>5065882.5821885271</v>
      </c>
      <c r="AY29" s="169">
        <f t="shared" si="106"/>
        <v>5828231.7195168063</v>
      </c>
      <c r="AZ29" s="169">
        <f t="shared" si="106"/>
        <v>6704933.2274443274</v>
      </c>
      <c r="BA29" s="169">
        <f t="shared" si="106"/>
        <v>7713364.2115609767</v>
      </c>
      <c r="BB29" s="169">
        <f t="shared" si="106"/>
        <v>8873059.8432951234</v>
      </c>
      <c r="BC29" s="169">
        <f t="shared" si="106"/>
        <v>10206709.819789391</v>
      </c>
      <c r="BD29" s="169">
        <f t="shared" si="106"/>
        <v>11740407.2927578</v>
      </c>
      <c r="BE29" s="169">
        <f t="shared" si="106"/>
        <v>13504159.38667147</v>
      </c>
      <c r="BF29" s="169">
        <f t="shared" si="106"/>
        <v>15532474.294672191</v>
      </c>
      <c r="BG29" s="169">
        <f t="shared" si="106"/>
        <v>17865036.438873019</v>
      </c>
      <c r="BH29" s="169">
        <f t="shared" si="106"/>
        <v>20547482.904703971</v>
      </c>
      <c r="BI29" s="169">
        <f t="shared" si="106"/>
        <v>23632296.340409566</v>
      </c>
    </row>
    <row r="30" spans="1:61" s="151" customFormat="1" x14ac:dyDescent="0.25">
      <c r="A30" s="150"/>
    </row>
    <row r="31" spans="1:61" s="154" customFormat="1" ht="20" customHeight="1" x14ac:dyDescent="0.25">
      <c r="A31" s="23" t="s">
        <v>342</v>
      </c>
      <c r="B31" s="24">
        <v>43831</v>
      </c>
      <c r="C31" s="24">
        <v>43862</v>
      </c>
      <c r="D31" s="24">
        <v>43891</v>
      </c>
      <c r="E31" s="24">
        <v>43922</v>
      </c>
      <c r="F31" s="24">
        <v>43952</v>
      </c>
      <c r="G31" s="24">
        <v>43983</v>
      </c>
      <c r="H31" s="24">
        <v>44013</v>
      </c>
      <c r="I31" s="24">
        <v>44044</v>
      </c>
      <c r="J31" s="24">
        <v>44075</v>
      </c>
      <c r="K31" s="24">
        <v>44105</v>
      </c>
      <c r="L31" s="24">
        <v>44136</v>
      </c>
      <c r="M31" s="24">
        <v>44166</v>
      </c>
      <c r="N31" s="24">
        <v>44197</v>
      </c>
      <c r="O31" s="24">
        <v>44228</v>
      </c>
      <c r="P31" s="24">
        <v>44256</v>
      </c>
      <c r="Q31" s="24">
        <v>44287</v>
      </c>
      <c r="R31" s="24">
        <v>44317</v>
      </c>
      <c r="S31" s="24">
        <v>44348</v>
      </c>
      <c r="T31" s="24">
        <v>44378</v>
      </c>
      <c r="U31" s="24">
        <v>44409</v>
      </c>
      <c r="V31" s="24">
        <v>44440</v>
      </c>
      <c r="W31" s="24">
        <v>44470</v>
      </c>
      <c r="X31" s="24">
        <v>44501</v>
      </c>
      <c r="Y31" s="24">
        <v>44531</v>
      </c>
      <c r="Z31" s="24">
        <v>44562</v>
      </c>
      <c r="AA31" s="24">
        <v>44593</v>
      </c>
      <c r="AB31" s="24">
        <v>44621</v>
      </c>
      <c r="AC31" s="24">
        <v>44652</v>
      </c>
      <c r="AD31" s="24">
        <v>44682</v>
      </c>
      <c r="AE31" s="24">
        <v>44713</v>
      </c>
      <c r="AF31" s="24">
        <v>44743</v>
      </c>
      <c r="AG31" s="24">
        <v>44774</v>
      </c>
      <c r="AH31" s="24">
        <v>44805</v>
      </c>
      <c r="AI31" s="24">
        <v>44835</v>
      </c>
      <c r="AJ31" s="24">
        <v>44866</v>
      </c>
      <c r="AK31" s="24">
        <v>44896</v>
      </c>
      <c r="AL31" s="24">
        <v>44927</v>
      </c>
      <c r="AM31" s="24">
        <v>44958</v>
      </c>
      <c r="AN31" s="24">
        <v>44986</v>
      </c>
      <c r="AO31" s="24">
        <v>45017</v>
      </c>
      <c r="AP31" s="24">
        <v>45047</v>
      </c>
      <c r="AQ31" s="24">
        <v>45078</v>
      </c>
      <c r="AR31" s="24">
        <v>45108</v>
      </c>
      <c r="AS31" s="24">
        <v>45139</v>
      </c>
      <c r="AT31" s="24">
        <v>45170</v>
      </c>
      <c r="AU31" s="24">
        <v>45200</v>
      </c>
      <c r="AV31" s="24">
        <v>45231</v>
      </c>
      <c r="AW31" s="24">
        <v>45261</v>
      </c>
      <c r="AX31" s="24">
        <v>45292</v>
      </c>
      <c r="AY31" s="24">
        <v>45323</v>
      </c>
      <c r="AZ31" s="24">
        <v>45352</v>
      </c>
      <c r="BA31" s="24">
        <v>45383</v>
      </c>
      <c r="BB31" s="24">
        <v>45413</v>
      </c>
      <c r="BC31" s="24">
        <v>45444</v>
      </c>
      <c r="BD31" s="24">
        <v>45474</v>
      </c>
      <c r="BE31" s="24">
        <v>45505</v>
      </c>
      <c r="BF31" s="24">
        <v>45536</v>
      </c>
      <c r="BG31" s="24">
        <v>45566</v>
      </c>
      <c r="BH31" s="24">
        <v>45597</v>
      </c>
      <c r="BI31" s="24">
        <v>45627</v>
      </c>
    </row>
    <row r="32" spans="1:61" s="150" customFormat="1" outlineLevel="1" x14ac:dyDescent="0.25">
      <c r="A32" s="150" t="s">
        <v>316</v>
      </c>
      <c r="B32" s="170">
        <f>'Operating Expenses 2020'!C32</f>
        <v>0</v>
      </c>
      <c r="C32" s="170">
        <f>'Operating Expenses 2020'!D32</f>
        <v>0</v>
      </c>
      <c r="D32" s="170">
        <f>'Operating Expenses 2020'!E32</f>
        <v>0</v>
      </c>
      <c r="E32" s="170">
        <f>'Operating Expenses 2020'!F32</f>
        <v>0</v>
      </c>
      <c r="F32" s="170">
        <f>'Operating Expenses 2020'!G32</f>
        <v>0</v>
      </c>
      <c r="G32" s="170">
        <f>'Operating Expenses 2020'!H32</f>
        <v>0</v>
      </c>
      <c r="H32" s="170">
        <f>'Operating Expenses 2020'!I32</f>
        <v>20000</v>
      </c>
      <c r="I32" s="170">
        <f>'Operating Expenses 2020'!J32</f>
        <v>26000</v>
      </c>
      <c r="J32" s="170">
        <f>'Operating Expenses 2020'!K32</f>
        <v>33800</v>
      </c>
      <c r="K32" s="170">
        <f>'Operating Expenses 2020'!L32</f>
        <v>43940</v>
      </c>
      <c r="L32" s="170">
        <f>'Operating Expenses 2020'!M32</f>
        <v>57122</v>
      </c>
      <c r="M32" s="170">
        <f>'Operating Expenses 2020'!N32</f>
        <v>74258.600000000006</v>
      </c>
      <c r="N32" s="178">
        <f>'Operating Expenses 2020-2024'!$D$19/12</f>
        <v>403940.95</v>
      </c>
      <c r="O32" s="178">
        <f>'Operating Expenses 2020-2024'!$D$19/12</f>
        <v>403940.95</v>
      </c>
      <c r="P32" s="178">
        <f>'Operating Expenses 2020-2024'!$D$19/12</f>
        <v>403940.95</v>
      </c>
      <c r="Q32" s="178">
        <f>'Operating Expenses 2020-2024'!$D$19/12</f>
        <v>403940.95</v>
      </c>
      <c r="R32" s="178">
        <f>'Operating Expenses 2020-2024'!$D$19/12</f>
        <v>403940.95</v>
      </c>
      <c r="S32" s="178">
        <f>'Operating Expenses 2020-2024'!$D$19/12</f>
        <v>403940.95</v>
      </c>
      <c r="T32" s="178">
        <f>'Operating Expenses 2020-2024'!$D$19/12</f>
        <v>403940.95</v>
      </c>
      <c r="U32" s="178">
        <f>'Operating Expenses 2020-2024'!$D$19/12</f>
        <v>403940.95</v>
      </c>
      <c r="V32" s="178">
        <f>'Operating Expenses 2020-2024'!$D$19/12</f>
        <v>403940.95</v>
      </c>
      <c r="W32" s="178">
        <f>'Operating Expenses 2020-2024'!$D$19/12</f>
        <v>403940.95</v>
      </c>
      <c r="X32" s="178">
        <f>'Operating Expenses 2020-2024'!$D$19/12</f>
        <v>403940.95</v>
      </c>
      <c r="Y32" s="178">
        <f>'Operating Expenses 2020-2024'!$D$19/12</f>
        <v>403940.95</v>
      </c>
      <c r="Z32" s="178">
        <f>'Operating Expenses 2020-2024'!$E$19/12</f>
        <v>807881.9</v>
      </c>
      <c r="AA32" s="178">
        <f>'Operating Expenses 2020-2024'!$E$19/12</f>
        <v>807881.9</v>
      </c>
      <c r="AB32" s="178">
        <f>'Operating Expenses 2020-2024'!$E$19/12</f>
        <v>807881.9</v>
      </c>
      <c r="AC32" s="178">
        <f>'Operating Expenses 2020-2024'!$E$19/12</f>
        <v>807881.9</v>
      </c>
      <c r="AD32" s="178">
        <f>'Operating Expenses 2020-2024'!$E$19/12</f>
        <v>807881.9</v>
      </c>
      <c r="AE32" s="178">
        <f>'Operating Expenses 2020-2024'!$E$19/12</f>
        <v>807881.9</v>
      </c>
      <c r="AF32" s="178">
        <f>'Operating Expenses 2020-2024'!$E$19/12</f>
        <v>807881.9</v>
      </c>
      <c r="AG32" s="178">
        <f>'Operating Expenses 2020-2024'!$E$19/12</f>
        <v>807881.9</v>
      </c>
      <c r="AH32" s="178">
        <f>'Operating Expenses 2020-2024'!$E$19/12</f>
        <v>807881.9</v>
      </c>
      <c r="AI32" s="178">
        <f>'Operating Expenses 2020-2024'!$E$19/12</f>
        <v>807881.9</v>
      </c>
      <c r="AJ32" s="178">
        <f>'Operating Expenses 2020-2024'!$E$19/12</f>
        <v>807881.9</v>
      </c>
      <c r="AK32" s="178">
        <f>'Operating Expenses 2020-2024'!$E$19/12</f>
        <v>807881.9</v>
      </c>
      <c r="AL32" s="178">
        <f>'Operating Expenses 2020-2024'!$F$19/12</f>
        <v>1211822.8500000001</v>
      </c>
      <c r="AM32" s="178">
        <f>'Operating Expenses 2020-2024'!$F$19/12</f>
        <v>1211822.8500000001</v>
      </c>
      <c r="AN32" s="178">
        <f>'Operating Expenses 2020-2024'!$F$19/12</f>
        <v>1211822.8500000001</v>
      </c>
      <c r="AO32" s="178">
        <f>'Operating Expenses 2020-2024'!$F$19/12</f>
        <v>1211822.8500000001</v>
      </c>
      <c r="AP32" s="178">
        <f>'Operating Expenses 2020-2024'!$F$19/12</f>
        <v>1211822.8500000001</v>
      </c>
      <c r="AQ32" s="178">
        <f>'Operating Expenses 2020-2024'!$F$19/12</f>
        <v>1211822.8500000001</v>
      </c>
      <c r="AR32" s="178">
        <f>'Operating Expenses 2020-2024'!$F$19/12</f>
        <v>1211822.8500000001</v>
      </c>
      <c r="AS32" s="178">
        <f>'Operating Expenses 2020-2024'!$F$19/12</f>
        <v>1211822.8500000001</v>
      </c>
      <c r="AT32" s="178">
        <f>'Operating Expenses 2020-2024'!$F$19/12</f>
        <v>1211822.8500000001</v>
      </c>
      <c r="AU32" s="178">
        <f>'Operating Expenses 2020-2024'!$F$19/12</f>
        <v>1211822.8500000001</v>
      </c>
      <c r="AV32" s="178">
        <f>'Operating Expenses 2020-2024'!$F$19/12</f>
        <v>1211822.8500000001</v>
      </c>
      <c r="AW32" s="178">
        <f>'Operating Expenses 2020-2024'!$F$19/12</f>
        <v>1211822.8500000001</v>
      </c>
      <c r="AX32" s="178">
        <f>'Operating Expenses 2020-2024'!$G$19/12</f>
        <v>1454187.42</v>
      </c>
      <c r="AY32" s="178">
        <f>'Operating Expenses 2020-2024'!$G$19/12</f>
        <v>1454187.42</v>
      </c>
      <c r="AZ32" s="178">
        <f>'Operating Expenses 2020-2024'!$G$19/12</f>
        <v>1454187.42</v>
      </c>
      <c r="BA32" s="178">
        <f>'Operating Expenses 2020-2024'!$G$19/12</f>
        <v>1454187.42</v>
      </c>
      <c r="BB32" s="178">
        <f>'Operating Expenses 2020-2024'!$G$19/12</f>
        <v>1454187.42</v>
      </c>
      <c r="BC32" s="178">
        <f>'Operating Expenses 2020-2024'!$G$19/12</f>
        <v>1454187.42</v>
      </c>
      <c r="BD32" s="178">
        <f>'Operating Expenses 2020-2024'!$G$19/12</f>
        <v>1454187.42</v>
      </c>
      <c r="BE32" s="178">
        <f>'Operating Expenses 2020-2024'!$G$19/12</f>
        <v>1454187.42</v>
      </c>
      <c r="BF32" s="178">
        <f>'Operating Expenses 2020-2024'!$G$19/12</f>
        <v>1454187.42</v>
      </c>
      <c r="BG32" s="178">
        <f>'Operating Expenses 2020-2024'!$G$19/12</f>
        <v>1454187.42</v>
      </c>
      <c r="BH32" s="178">
        <f>'Operating Expenses 2020-2024'!$G$19/12</f>
        <v>1454187.42</v>
      </c>
      <c r="BI32" s="178">
        <f>'Operating Expenses 2020-2024'!$G$19/12</f>
        <v>1454187.42</v>
      </c>
    </row>
    <row r="33" spans="1:61" outlineLevel="1" x14ac:dyDescent="0.25">
      <c r="A33" s="1" t="s">
        <v>317</v>
      </c>
      <c r="B33" s="119">
        <f>B32*$G$4</f>
        <v>0</v>
      </c>
      <c r="C33" s="119">
        <f t="shared" ref="C33:L33" si="107">C32*$G$4</f>
        <v>0</v>
      </c>
      <c r="D33" s="119">
        <f t="shared" si="107"/>
        <v>0</v>
      </c>
      <c r="E33" s="119">
        <f t="shared" si="107"/>
        <v>0</v>
      </c>
      <c r="F33" s="119">
        <f t="shared" si="107"/>
        <v>0</v>
      </c>
      <c r="G33" s="119">
        <f t="shared" si="107"/>
        <v>0</v>
      </c>
      <c r="H33" s="119">
        <f>H32*$G$4</f>
        <v>10000</v>
      </c>
      <c r="I33" s="119">
        <f t="shared" si="107"/>
        <v>13000</v>
      </c>
      <c r="J33" s="119">
        <f t="shared" si="107"/>
        <v>16900</v>
      </c>
      <c r="K33" s="119">
        <f t="shared" si="107"/>
        <v>21970</v>
      </c>
      <c r="L33" s="119">
        <f t="shared" si="107"/>
        <v>28561</v>
      </c>
      <c r="M33" s="119">
        <f>M32*$G$4</f>
        <v>37129.300000000003</v>
      </c>
      <c r="N33" s="119">
        <f t="shared" ref="N33:Y33" si="108">N32*$G$4</f>
        <v>201970.47500000001</v>
      </c>
      <c r="O33" s="119">
        <f t="shared" si="108"/>
        <v>201970.47500000001</v>
      </c>
      <c r="P33" s="119">
        <f t="shared" si="108"/>
        <v>201970.47500000001</v>
      </c>
      <c r="Q33" s="119">
        <f t="shared" si="108"/>
        <v>201970.47500000001</v>
      </c>
      <c r="R33" s="119">
        <f t="shared" si="108"/>
        <v>201970.47500000001</v>
      </c>
      <c r="S33" s="119">
        <f t="shared" si="108"/>
        <v>201970.47500000001</v>
      </c>
      <c r="T33" s="119">
        <f t="shared" si="108"/>
        <v>201970.47500000001</v>
      </c>
      <c r="U33" s="119">
        <f t="shared" si="108"/>
        <v>201970.47500000001</v>
      </c>
      <c r="V33" s="119">
        <f t="shared" si="108"/>
        <v>201970.47500000001</v>
      </c>
      <c r="W33" s="119">
        <f t="shared" si="108"/>
        <v>201970.47500000001</v>
      </c>
      <c r="X33" s="119">
        <f t="shared" si="108"/>
        <v>201970.47500000001</v>
      </c>
      <c r="Y33" s="119">
        <f t="shared" si="108"/>
        <v>201970.47500000001</v>
      </c>
      <c r="Z33" s="119">
        <f t="shared" ref="Z33" si="109">Z32*$G$4</f>
        <v>403940.95</v>
      </c>
      <c r="AA33" s="119">
        <f t="shared" ref="AA33" si="110">AA32*$G$4</f>
        <v>403940.95</v>
      </c>
      <c r="AB33" s="119">
        <f t="shared" ref="AB33" si="111">AB32*$G$4</f>
        <v>403940.95</v>
      </c>
      <c r="AC33" s="119">
        <f t="shared" ref="AC33" si="112">AC32*$G$4</f>
        <v>403940.95</v>
      </c>
      <c r="AD33" s="119">
        <f t="shared" ref="AD33" si="113">AD32*$G$4</f>
        <v>403940.95</v>
      </c>
      <c r="AE33" s="119">
        <f t="shared" ref="AE33" si="114">AE32*$G$4</f>
        <v>403940.95</v>
      </c>
      <c r="AF33" s="119">
        <f t="shared" ref="AF33" si="115">AF32*$G$4</f>
        <v>403940.95</v>
      </c>
      <c r="AG33" s="119">
        <f t="shared" ref="AG33" si="116">AG32*$G$4</f>
        <v>403940.95</v>
      </c>
      <c r="AH33" s="119">
        <f t="shared" ref="AH33" si="117">AH32*$G$4</f>
        <v>403940.95</v>
      </c>
      <c r="AI33" s="119">
        <f t="shared" ref="AI33" si="118">AI32*$G$4</f>
        <v>403940.95</v>
      </c>
      <c r="AJ33" s="119">
        <f t="shared" ref="AJ33" si="119">AJ32*$G$4</f>
        <v>403940.95</v>
      </c>
      <c r="AK33" s="119">
        <f t="shared" ref="AK33" si="120">AK32*$G$4</f>
        <v>403940.95</v>
      </c>
      <c r="AL33" s="119">
        <f t="shared" ref="AL33" si="121">AL32*$G$4</f>
        <v>605911.42500000005</v>
      </c>
      <c r="AM33" s="119">
        <f t="shared" ref="AM33" si="122">AM32*$G$4</f>
        <v>605911.42500000005</v>
      </c>
      <c r="AN33" s="119">
        <f t="shared" ref="AN33" si="123">AN32*$G$4</f>
        <v>605911.42500000005</v>
      </c>
      <c r="AO33" s="119">
        <f t="shared" ref="AO33" si="124">AO32*$G$4</f>
        <v>605911.42500000005</v>
      </c>
      <c r="AP33" s="119">
        <f t="shared" ref="AP33" si="125">AP32*$G$4</f>
        <v>605911.42500000005</v>
      </c>
      <c r="AQ33" s="119">
        <f t="shared" ref="AQ33" si="126">AQ32*$G$4</f>
        <v>605911.42500000005</v>
      </c>
      <c r="AR33" s="119">
        <f t="shared" ref="AR33" si="127">AR32*$G$4</f>
        <v>605911.42500000005</v>
      </c>
      <c r="AS33" s="119">
        <f t="shared" ref="AS33" si="128">AS32*$G$4</f>
        <v>605911.42500000005</v>
      </c>
      <c r="AT33" s="119">
        <f t="shared" ref="AT33" si="129">AT32*$G$4</f>
        <v>605911.42500000005</v>
      </c>
      <c r="AU33" s="119">
        <f t="shared" ref="AU33" si="130">AU32*$G$4</f>
        <v>605911.42500000005</v>
      </c>
      <c r="AV33" s="119">
        <f t="shared" ref="AV33" si="131">AV32*$G$4</f>
        <v>605911.42500000005</v>
      </c>
      <c r="AW33" s="119">
        <f t="shared" ref="AW33" si="132">AW32*$G$4</f>
        <v>605911.42500000005</v>
      </c>
      <c r="AX33" s="119">
        <f t="shared" ref="AX33" si="133">AX32*$G$4</f>
        <v>727093.71</v>
      </c>
      <c r="AY33" s="119">
        <f t="shared" ref="AY33" si="134">AY32*$G$4</f>
        <v>727093.71</v>
      </c>
      <c r="AZ33" s="119">
        <f t="shared" ref="AZ33" si="135">AZ32*$G$4</f>
        <v>727093.71</v>
      </c>
      <c r="BA33" s="119">
        <f t="shared" ref="BA33" si="136">BA32*$G$4</f>
        <v>727093.71</v>
      </c>
      <c r="BB33" s="119">
        <f t="shared" ref="BB33" si="137">BB32*$G$4</f>
        <v>727093.71</v>
      </c>
      <c r="BC33" s="119">
        <f t="shared" ref="BC33" si="138">BC32*$G$4</f>
        <v>727093.71</v>
      </c>
      <c r="BD33" s="119">
        <f t="shared" ref="BD33" si="139">BD32*$G$4</f>
        <v>727093.71</v>
      </c>
      <c r="BE33" s="119">
        <f t="shared" ref="BE33" si="140">BE32*$G$4</f>
        <v>727093.71</v>
      </c>
      <c r="BF33" s="119">
        <f t="shared" ref="BF33" si="141">BF32*$G$4</f>
        <v>727093.71</v>
      </c>
      <c r="BG33" s="119">
        <f t="shared" ref="BG33" si="142">BG32*$G$4</f>
        <v>727093.71</v>
      </c>
      <c r="BH33" s="119">
        <f t="shared" ref="BH33" si="143">BH32*$G$4</f>
        <v>727093.71</v>
      </c>
      <c r="BI33" s="119">
        <f t="shared" ref="BI33" si="144">BI32*$G$4</f>
        <v>727093.71</v>
      </c>
    </row>
    <row r="34" spans="1:61" outlineLevel="1" x14ac:dyDescent="0.25">
      <c r="A34" s="1" t="s">
        <v>318</v>
      </c>
      <c r="B34" s="119">
        <f>B32*$G$5</f>
        <v>0</v>
      </c>
      <c r="C34" s="119">
        <f t="shared" ref="C34:M34" si="145">C32*$G$5</f>
        <v>0</v>
      </c>
      <c r="D34" s="119">
        <f t="shared" si="145"/>
        <v>0</v>
      </c>
      <c r="E34" s="119">
        <f t="shared" si="145"/>
        <v>0</v>
      </c>
      <c r="F34" s="119">
        <f t="shared" si="145"/>
        <v>0</v>
      </c>
      <c r="G34" s="119">
        <f t="shared" si="145"/>
        <v>0</v>
      </c>
      <c r="H34" s="119">
        <f t="shared" si="145"/>
        <v>4000</v>
      </c>
      <c r="I34" s="119">
        <f t="shared" si="145"/>
        <v>5200</v>
      </c>
      <c r="J34" s="119">
        <f t="shared" si="145"/>
        <v>6760</v>
      </c>
      <c r="K34" s="119">
        <f t="shared" si="145"/>
        <v>8788</v>
      </c>
      <c r="L34" s="119">
        <f t="shared" si="145"/>
        <v>11424.400000000001</v>
      </c>
      <c r="M34" s="119">
        <f t="shared" si="145"/>
        <v>14851.720000000001</v>
      </c>
      <c r="N34" s="119">
        <f t="shared" ref="N34:Y34" si="146">N32*$G$5</f>
        <v>80788.19</v>
      </c>
      <c r="O34" s="119">
        <f t="shared" si="146"/>
        <v>80788.19</v>
      </c>
      <c r="P34" s="119">
        <f t="shared" si="146"/>
        <v>80788.19</v>
      </c>
      <c r="Q34" s="119">
        <f t="shared" si="146"/>
        <v>80788.19</v>
      </c>
      <c r="R34" s="119">
        <f t="shared" si="146"/>
        <v>80788.19</v>
      </c>
      <c r="S34" s="119">
        <f t="shared" si="146"/>
        <v>80788.19</v>
      </c>
      <c r="T34" s="119">
        <f t="shared" si="146"/>
        <v>80788.19</v>
      </c>
      <c r="U34" s="119">
        <f t="shared" si="146"/>
        <v>80788.19</v>
      </c>
      <c r="V34" s="119">
        <f t="shared" si="146"/>
        <v>80788.19</v>
      </c>
      <c r="W34" s="119">
        <f t="shared" si="146"/>
        <v>80788.19</v>
      </c>
      <c r="X34" s="119">
        <f t="shared" si="146"/>
        <v>80788.19</v>
      </c>
      <c r="Y34" s="119">
        <f t="shared" si="146"/>
        <v>80788.19</v>
      </c>
      <c r="Z34" s="119">
        <f t="shared" ref="Z34:AK34" si="147">Z32*$G$5</f>
        <v>161576.38</v>
      </c>
      <c r="AA34" s="119">
        <f t="shared" si="147"/>
        <v>161576.38</v>
      </c>
      <c r="AB34" s="119">
        <f t="shared" si="147"/>
        <v>161576.38</v>
      </c>
      <c r="AC34" s="119">
        <f t="shared" si="147"/>
        <v>161576.38</v>
      </c>
      <c r="AD34" s="119">
        <f t="shared" si="147"/>
        <v>161576.38</v>
      </c>
      <c r="AE34" s="119">
        <f t="shared" si="147"/>
        <v>161576.38</v>
      </c>
      <c r="AF34" s="119">
        <f t="shared" si="147"/>
        <v>161576.38</v>
      </c>
      <c r="AG34" s="119">
        <f t="shared" si="147"/>
        <v>161576.38</v>
      </c>
      <c r="AH34" s="119">
        <f t="shared" si="147"/>
        <v>161576.38</v>
      </c>
      <c r="AI34" s="119">
        <f t="shared" si="147"/>
        <v>161576.38</v>
      </c>
      <c r="AJ34" s="119">
        <f t="shared" si="147"/>
        <v>161576.38</v>
      </c>
      <c r="AK34" s="119">
        <f t="shared" si="147"/>
        <v>161576.38</v>
      </c>
      <c r="AL34" s="119">
        <f t="shared" ref="AL34:AV34" si="148">AL32*$G$5</f>
        <v>242364.57000000004</v>
      </c>
      <c r="AM34" s="119">
        <f t="shared" si="148"/>
        <v>242364.57000000004</v>
      </c>
      <c r="AN34" s="119">
        <f t="shared" si="148"/>
        <v>242364.57000000004</v>
      </c>
      <c r="AO34" s="119">
        <f t="shared" si="148"/>
        <v>242364.57000000004</v>
      </c>
      <c r="AP34" s="119">
        <f t="shared" si="148"/>
        <v>242364.57000000004</v>
      </c>
      <c r="AQ34" s="119">
        <f t="shared" si="148"/>
        <v>242364.57000000004</v>
      </c>
      <c r="AR34" s="119">
        <f t="shared" si="148"/>
        <v>242364.57000000004</v>
      </c>
      <c r="AS34" s="119">
        <f t="shared" si="148"/>
        <v>242364.57000000004</v>
      </c>
      <c r="AT34" s="119">
        <f t="shared" si="148"/>
        <v>242364.57000000004</v>
      </c>
      <c r="AU34" s="119">
        <f t="shared" si="148"/>
        <v>242364.57000000004</v>
      </c>
      <c r="AV34" s="119">
        <f t="shared" si="148"/>
        <v>242364.57000000004</v>
      </c>
      <c r="AW34" s="119">
        <f t="shared" ref="AW34:BI34" si="149">AW32*$G$5</f>
        <v>242364.57000000004</v>
      </c>
      <c r="AX34" s="119">
        <f t="shared" si="149"/>
        <v>290837.484</v>
      </c>
      <c r="AY34" s="119">
        <f t="shared" si="149"/>
        <v>290837.484</v>
      </c>
      <c r="AZ34" s="119">
        <f t="shared" si="149"/>
        <v>290837.484</v>
      </c>
      <c r="BA34" s="119">
        <f t="shared" si="149"/>
        <v>290837.484</v>
      </c>
      <c r="BB34" s="119">
        <f t="shared" si="149"/>
        <v>290837.484</v>
      </c>
      <c r="BC34" s="119">
        <f t="shared" si="149"/>
        <v>290837.484</v>
      </c>
      <c r="BD34" s="119">
        <f t="shared" si="149"/>
        <v>290837.484</v>
      </c>
      <c r="BE34" s="119">
        <f t="shared" si="149"/>
        <v>290837.484</v>
      </c>
      <c r="BF34" s="119">
        <f t="shared" si="149"/>
        <v>290837.484</v>
      </c>
      <c r="BG34" s="119">
        <f t="shared" si="149"/>
        <v>290837.484</v>
      </c>
      <c r="BH34" s="119">
        <f t="shared" si="149"/>
        <v>290837.484</v>
      </c>
      <c r="BI34" s="119">
        <f t="shared" si="149"/>
        <v>290837.484</v>
      </c>
    </row>
    <row r="35" spans="1:61" outlineLevel="1" x14ac:dyDescent="0.25">
      <c r="A35" s="1" t="s">
        <v>319</v>
      </c>
      <c r="B35" s="119">
        <f>B32*$G$6</f>
        <v>0</v>
      </c>
      <c r="C35" s="119">
        <f t="shared" ref="C35:M35" si="150">C32*$G$6</f>
        <v>0</v>
      </c>
      <c r="D35" s="119">
        <f t="shared" si="150"/>
        <v>0</v>
      </c>
      <c r="E35" s="119">
        <f t="shared" si="150"/>
        <v>0</v>
      </c>
      <c r="F35" s="119">
        <f t="shared" si="150"/>
        <v>0</v>
      </c>
      <c r="G35" s="119">
        <f t="shared" si="150"/>
        <v>0</v>
      </c>
      <c r="H35" s="119">
        <f t="shared" si="150"/>
        <v>2000</v>
      </c>
      <c r="I35" s="119">
        <f t="shared" si="150"/>
        <v>2600</v>
      </c>
      <c r="J35" s="119">
        <f t="shared" si="150"/>
        <v>3380</v>
      </c>
      <c r="K35" s="119">
        <f t="shared" si="150"/>
        <v>4394</v>
      </c>
      <c r="L35" s="119">
        <f t="shared" si="150"/>
        <v>5712.2000000000007</v>
      </c>
      <c r="M35" s="119">
        <f t="shared" si="150"/>
        <v>7425.8600000000006</v>
      </c>
      <c r="N35" s="119">
        <f t="shared" ref="N35:Y35" si="151">N32*$G$6</f>
        <v>40394.095000000001</v>
      </c>
      <c r="O35" s="119">
        <f t="shared" si="151"/>
        <v>40394.095000000001</v>
      </c>
      <c r="P35" s="119">
        <f t="shared" si="151"/>
        <v>40394.095000000001</v>
      </c>
      <c r="Q35" s="119">
        <f t="shared" si="151"/>
        <v>40394.095000000001</v>
      </c>
      <c r="R35" s="119">
        <f t="shared" si="151"/>
        <v>40394.095000000001</v>
      </c>
      <c r="S35" s="119">
        <f t="shared" si="151"/>
        <v>40394.095000000001</v>
      </c>
      <c r="T35" s="119">
        <f t="shared" si="151"/>
        <v>40394.095000000001</v>
      </c>
      <c r="U35" s="119">
        <f t="shared" si="151"/>
        <v>40394.095000000001</v>
      </c>
      <c r="V35" s="119">
        <f t="shared" si="151"/>
        <v>40394.095000000001</v>
      </c>
      <c r="W35" s="119">
        <f t="shared" si="151"/>
        <v>40394.095000000001</v>
      </c>
      <c r="X35" s="119">
        <f t="shared" si="151"/>
        <v>40394.095000000001</v>
      </c>
      <c r="Y35" s="119">
        <f t="shared" si="151"/>
        <v>40394.095000000001</v>
      </c>
      <c r="Z35" s="119">
        <f t="shared" ref="Z35:AK35" si="152">Z32*$G$6</f>
        <v>80788.19</v>
      </c>
      <c r="AA35" s="119">
        <f t="shared" si="152"/>
        <v>80788.19</v>
      </c>
      <c r="AB35" s="119">
        <f t="shared" si="152"/>
        <v>80788.19</v>
      </c>
      <c r="AC35" s="119">
        <f t="shared" si="152"/>
        <v>80788.19</v>
      </c>
      <c r="AD35" s="119">
        <f t="shared" si="152"/>
        <v>80788.19</v>
      </c>
      <c r="AE35" s="119">
        <f t="shared" si="152"/>
        <v>80788.19</v>
      </c>
      <c r="AF35" s="119">
        <f t="shared" si="152"/>
        <v>80788.19</v>
      </c>
      <c r="AG35" s="119">
        <f t="shared" si="152"/>
        <v>80788.19</v>
      </c>
      <c r="AH35" s="119">
        <f t="shared" si="152"/>
        <v>80788.19</v>
      </c>
      <c r="AI35" s="119">
        <f t="shared" si="152"/>
        <v>80788.19</v>
      </c>
      <c r="AJ35" s="119">
        <f t="shared" si="152"/>
        <v>80788.19</v>
      </c>
      <c r="AK35" s="119">
        <f t="shared" si="152"/>
        <v>80788.19</v>
      </c>
      <c r="AL35" s="119">
        <f t="shared" ref="AL35:AV35" si="153">AL32*$G$6</f>
        <v>121182.28500000002</v>
      </c>
      <c r="AM35" s="119">
        <f t="shared" si="153"/>
        <v>121182.28500000002</v>
      </c>
      <c r="AN35" s="119">
        <f t="shared" si="153"/>
        <v>121182.28500000002</v>
      </c>
      <c r="AO35" s="119">
        <f t="shared" si="153"/>
        <v>121182.28500000002</v>
      </c>
      <c r="AP35" s="119">
        <f t="shared" si="153"/>
        <v>121182.28500000002</v>
      </c>
      <c r="AQ35" s="119">
        <f t="shared" si="153"/>
        <v>121182.28500000002</v>
      </c>
      <c r="AR35" s="119">
        <f t="shared" si="153"/>
        <v>121182.28500000002</v>
      </c>
      <c r="AS35" s="119">
        <f t="shared" si="153"/>
        <v>121182.28500000002</v>
      </c>
      <c r="AT35" s="119">
        <f t="shared" si="153"/>
        <v>121182.28500000002</v>
      </c>
      <c r="AU35" s="119">
        <f t="shared" si="153"/>
        <v>121182.28500000002</v>
      </c>
      <c r="AV35" s="119">
        <f t="shared" si="153"/>
        <v>121182.28500000002</v>
      </c>
      <c r="AW35" s="119">
        <f t="shared" ref="AW35:BI35" si="154">AW32*$G$6</f>
        <v>121182.28500000002</v>
      </c>
      <c r="AX35" s="119">
        <f t="shared" si="154"/>
        <v>145418.742</v>
      </c>
      <c r="AY35" s="119">
        <f t="shared" si="154"/>
        <v>145418.742</v>
      </c>
      <c r="AZ35" s="119">
        <f t="shared" si="154"/>
        <v>145418.742</v>
      </c>
      <c r="BA35" s="119">
        <f t="shared" si="154"/>
        <v>145418.742</v>
      </c>
      <c r="BB35" s="119">
        <f t="shared" si="154"/>
        <v>145418.742</v>
      </c>
      <c r="BC35" s="119">
        <f t="shared" si="154"/>
        <v>145418.742</v>
      </c>
      <c r="BD35" s="119">
        <f t="shared" si="154"/>
        <v>145418.742</v>
      </c>
      <c r="BE35" s="119">
        <f t="shared" si="154"/>
        <v>145418.742</v>
      </c>
      <c r="BF35" s="119">
        <f t="shared" si="154"/>
        <v>145418.742</v>
      </c>
      <c r="BG35" s="119">
        <f t="shared" si="154"/>
        <v>145418.742</v>
      </c>
      <c r="BH35" s="119">
        <f t="shared" si="154"/>
        <v>145418.742</v>
      </c>
      <c r="BI35" s="119">
        <f t="shared" si="154"/>
        <v>145418.742</v>
      </c>
    </row>
    <row r="36" spans="1:61" outlineLevel="1" x14ac:dyDescent="0.25">
      <c r="A36" s="1" t="s">
        <v>320</v>
      </c>
      <c r="B36" s="119">
        <f>B32*$G$7</f>
        <v>0</v>
      </c>
      <c r="C36" s="119">
        <f t="shared" ref="C36:M36" si="155">C32*$G$7</f>
        <v>0</v>
      </c>
      <c r="D36" s="119">
        <f t="shared" si="155"/>
        <v>0</v>
      </c>
      <c r="E36" s="119">
        <f t="shared" si="155"/>
        <v>0</v>
      </c>
      <c r="F36" s="119">
        <f t="shared" si="155"/>
        <v>0</v>
      </c>
      <c r="G36" s="119">
        <f t="shared" si="155"/>
        <v>0</v>
      </c>
      <c r="H36" s="119">
        <f t="shared" si="155"/>
        <v>4000</v>
      </c>
      <c r="I36" s="119">
        <f t="shared" si="155"/>
        <v>5200</v>
      </c>
      <c r="J36" s="119">
        <f t="shared" si="155"/>
        <v>6760</v>
      </c>
      <c r="K36" s="119">
        <f t="shared" si="155"/>
        <v>8788</v>
      </c>
      <c r="L36" s="119">
        <f t="shared" si="155"/>
        <v>11424.400000000001</v>
      </c>
      <c r="M36" s="119">
        <f t="shared" si="155"/>
        <v>14851.720000000001</v>
      </c>
      <c r="N36" s="119">
        <f t="shared" ref="N36:Y36" si="156">N32*$G$7</f>
        <v>80788.19</v>
      </c>
      <c r="O36" s="119">
        <f t="shared" si="156"/>
        <v>80788.19</v>
      </c>
      <c r="P36" s="119">
        <f t="shared" si="156"/>
        <v>80788.19</v>
      </c>
      <c r="Q36" s="119">
        <f t="shared" si="156"/>
        <v>80788.19</v>
      </c>
      <c r="R36" s="119">
        <f t="shared" si="156"/>
        <v>80788.19</v>
      </c>
      <c r="S36" s="119">
        <f t="shared" si="156"/>
        <v>80788.19</v>
      </c>
      <c r="T36" s="119">
        <f t="shared" si="156"/>
        <v>80788.19</v>
      </c>
      <c r="U36" s="119">
        <f t="shared" si="156"/>
        <v>80788.19</v>
      </c>
      <c r="V36" s="119">
        <f t="shared" si="156"/>
        <v>80788.19</v>
      </c>
      <c r="W36" s="119">
        <f t="shared" si="156"/>
        <v>80788.19</v>
      </c>
      <c r="X36" s="119">
        <f t="shared" si="156"/>
        <v>80788.19</v>
      </c>
      <c r="Y36" s="119">
        <f t="shared" si="156"/>
        <v>80788.19</v>
      </c>
      <c r="Z36" s="119">
        <f t="shared" ref="Z36:AK36" si="157">Z32*$G$7</f>
        <v>161576.38</v>
      </c>
      <c r="AA36" s="119">
        <f t="shared" si="157"/>
        <v>161576.38</v>
      </c>
      <c r="AB36" s="119">
        <f t="shared" si="157"/>
        <v>161576.38</v>
      </c>
      <c r="AC36" s="119">
        <f t="shared" si="157"/>
        <v>161576.38</v>
      </c>
      <c r="AD36" s="119">
        <f t="shared" si="157"/>
        <v>161576.38</v>
      </c>
      <c r="AE36" s="119">
        <f t="shared" si="157"/>
        <v>161576.38</v>
      </c>
      <c r="AF36" s="119">
        <f t="shared" si="157"/>
        <v>161576.38</v>
      </c>
      <c r="AG36" s="119">
        <f t="shared" si="157"/>
        <v>161576.38</v>
      </c>
      <c r="AH36" s="119">
        <f t="shared" si="157"/>
        <v>161576.38</v>
      </c>
      <c r="AI36" s="119">
        <f t="shared" si="157"/>
        <v>161576.38</v>
      </c>
      <c r="AJ36" s="119">
        <f t="shared" si="157"/>
        <v>161576.38</v>
      </c>
      <c r="AK36" s="119">
        <f t="shared" si="157"/>
        <v>161576.38</v>
      </c>
      <c r="AL36" s="119">
        <f t="shared" ref="AL36:AV36" si="158">AL32*$G$7</f>
        <v>242364.57000000004</v>
      </c>
      <c r="AM36" s="119">
        <f t="shared" si="158"/>
        <v>242364.57000000004</v>
      </c>
      <c r="AN36" s="119">
        <f t="shared" si="158"/>
        <v>242364.57000000004</v>
      </c>
      <c r="AO36" s="119">
        <f t="shared" si="158"/>
        <v>242364.57000000004</v>
      </c>
      <c r="AP36" s="119">
        <f t="shared" si="158"/>
        <v>242364.57000000004</v>
      </c>
      <c r="AQ36" s="119">
        <f t="shared" si="158"/>
        <v>242364.57000000004</v>
      </c>
      <c r="AR36" s="119">
        <f t="shared" si="158"/>
        <v>242364.57000000004</v>
      </c>
      <c r="AS36" s="119">
        <f t="shared" si="158"/>
        <v>242364.57000000004</v>
      </c>
      <c r="AT36" s="119">
        <f t="shared" si="158"/>
        <v>242364.57000000004</v>
      </c>
      <c r="AU36" s="119">
        <f t="shared" si="158"/>
        <v>242364.57000000004</v>
      </c>
      <c r="AV36" s="119">
        <f t="shared" si="158"/>
        <v>242364.57000000004</v>
      </c>
      <c r="AW36" s="119">
        <f t="shared" ref="AW36:BI36" si="159">AW32*$G$7</f>
        <v>242364.57000000004</v>
      </c>
      <c r="AX36" s="119">
        <f t="shared" si="159"/>
        <v>290837.484</v>
      </c>
      <c r="AY36" s="119">
        <f t="shared" si="159"/>
        <v>290837.484</v>
      </c>
      <c r="AZ36" s="119">
        <f t="shared" si="159"/>
        <v>290837.484</v>
      </c>
      <c r="BA36" s="119">
        <f t="shared" si="159"/>
        <v>290837.484</v>
      </c>
      <c r="BB36" s="119">
        <f t="shared" si="159"/>
        <v>290837.484</v>
      </c>
      <c r="BC36" s="119">
        <f t="shared" si="159"/>
        <v>290837.484</v>
      </c>
      <c r="BD36" s="119">
        <f t="shared" si="159"/>
        <v>290837.484</v>
      </c>
      <c r="BE36" s="119">
        <f t="shared" si="159"/>
        <v>290837.484</v>
      </c>
      <c r="BF36" s="119">
        <f t="shared" si="159"/>
        <v>290837.484</v>
      </c>
      <c r="BG36" s="119">
        <f t="shared" si="159"/>
        <v>290837.484</v>
      </c>
      <c r="BH36" s="119">
        <f t="shared" si="159"/>
        <v>290837.484</v>
      </c>
      <c r="BI36" s="119">
        <f t="shared" si="159"/>
        <v>290837.484</v>
      </c>
    </row>
    <row r="37" spans="1:61" outlineLevel="1" x14ac:dyDescent="0.25"/>
    <row r="38" spans="1:61" outlineLevel="1" x14ac:dyDescent="0.25">
      <c r="A38" s="150" t="s">
        <v>321</v>
      </c>
    </row>
    <row r="39" spans="1:61" outlineLevel="1" x14ac:dyDescent="0.25">
      <c r="A39" s="1" t="s">
        <v>322</v>
      </c>
      <c r="B39" s="639">
        <f>B33/$K$4</f>
        <v>0</v>
      </c>
      <c r="C39" s="639">
        <f t="shared" ref="C39:L39" si="160">C33/$K$4</f>
        <v>0</v>
      </c>
      <c r="D39" s="639">
        <f t="shared" si="160"/>
        <v>0</v>
      </c>
      <c r="E39" s="639">
        <f t="shared" si="160"/>
        <v>0</v>
      </c>
      <c r="F39" s="639">
        <f t="shared" si="160"/>
        <v>0</v>
      </c>
      <c r="G39" s="639">
        <f t="shared" si="160"/>
        <v>0</v>
      </c>
      <c r="H39" s="639">
        <f t="shared" si="160"/>
        <v>200000</v>
      </c>
      <c r="I39" s="639">
        <f t="shared" si="160"/>
        <v>260000</v>
      </c>
      <c r="J39" s="639">
        <f t="shared" si="160"/>
        <v>338000</v>
      </c>
      <c r="K39" s="639">
        <f t="shared" si="160"/>
        <v>439400</v>
      </c>
      <c r="L39" s="639">
        <f t="shared" si="160"/>
        <v>571220</v>
      </c>
      <c r="M39" s="639">
        <f>M33/$K$4</f>
        <v>742586</v>
      </c>
      <c r="N39" s="639">
        <f t="shared" ref="N39:BI39" si="161">N33/$K$4</f>
        <v>4039409.5</v>
      </c>
      <c r="O39" s="639">
        <f t="shared" si="161"/>
        <v>4039409.5</v>
      </c>
      <c r="P39" s="639">
        <f t="shared" si="161"/>
        <v>4039409.5</v>
      </c>
      <c r="Q39" s="639">
        <f t="shared" si="161"/>
        <v>4039409.5</v>
      </c>
      <c r="R39" s="639">
        <f t="shared" si="161"/>
        <v>4039409.5</v>
      </c>
      <c r="S39" s="639">
        <f t="shared" si="161"/>
        <v>4039409.5</v>
      </c>
      <c r="T39" s="639">
        <f t="shared" si="161"/>
        <v>4039409.5</v>
      </c>
      <c r="U39" s="639">
        <f t="shared" si="161"/>
        <v>4039409.5</v>
      </c>
      <c r="V39" s="639">
        <f t="shared" si="161"/>
        <v>4039409.5</v>
      </c>
      <c r="W39" s="639">
        <f t="shared" si="161"/>
        <v>4039409.5</v>
      </c>
      <c r="X39" s="639">
        <f t="shared" si="161"/>
        <v>4039409.5</v>
      </c>
      <c r="Y39" s="639">
        <f t="shared" si="161"/>
        <v>4039409.5</v>
      </c>
      <c r="Z39" s="639">
        <f t="shared" si="161"/>
        <v>8078819</v>
      </c>
      <c r="AA39" s="639">
        <f t="shared" si="161"/>
        <v>8078819</v>
      </c>
      <c r="AB39" s="639">
        <f t="shared" si="161"/>
        <v>8078819</v>
      </c>
      <c r="AC39" s="639">
        <f t="shared" si="161"/>
        <v>8078819</v>
      </c>
      <c r="AD39" s="639">
        <f t="shared" si="161"/>
        <v>8078819</v>
      </c>
      <c r="AE39" s="639">
        <f t="shared" si="161"/>
        <v>8078819</v>
      </c>
      <c r="AF39" s="639">
        <f t="shared" si="161"/>
        <v>8078819</v>
      </c>
      <c r="AG39" s="639">
        <f t="shared" si="161"/>
        <v>8078819</v>
      </c>
      <c r="AH39" s="639">
        <f t="shared" si="161"/>
        <v>8078819</v>
      </c>
      <c r="AI39" s="639">
        <f t="shared" si="161"/>
        <v>8078819</v>
      </c>
      <c r="AJ39" s="639">
        <f t="shared" si="161"/>
        <v>8078819</v>
      </c>
      <c r="AK39" s="639">
        <f t="shared" si="161"/>
        <v>8078819</v>
      </c>
      <c r="AL39" s="639">
        <f t="shared" si="161"/>
        <v>12118228.5</v>
      </c>
      <c r="AM39" s="639">
        <f t="shared" si="161"/>
        <v>12118228.5</v>
      </c>
      <c r="AN39" s="639">
        <f t="shared" si="161"/>
        <v>12118228.5</v>
      </c>
      <c r="AO39" s="639">
        <f t="shared" si="161"/>
        <v>12118228.5</v>
      </c>
      <c r="AP39" s="639">
        <f t="shared" si="161"/>
        <v>12118228.5</v>
      </c>
      <c r="AQ39" s="639">
        <f t="shared" si="161"/>
        <v>12118228.5</v>
      </c>
      <c r="AR39" s="639">
        <f t="shared" si="161"/>
        <v>12118228.5</v>
      </c>
      <c r="AS39" s="639">
        <f t="shared" si="161"/>
        <v>12118228.5</v>
      </c>
      <c r="AT39" s="639">
        <f t="shared" si="161"/>
        <v>12118228.5</v>
      </c>
      <c r="AU39" s="639">
        <f t="shared" si="161"/>
        <v>12118228.5</v>
      </c>
      <c r="AV39" s="639">
        <f t="shared" si="161"/>
        <v>12118228.5</v>
      </c>
      <c r="AW39" s="639">
        <f t="shared" si="161"/>
        <v>12118228.5</v>
      </c>
      <c r="AX39" s="639">
        <f t="shared" si="161"/>
        <v>14541874.199999999</v>
      </c>
      <c r="AY39" s="639">
        <f t="shared" si="161"/>
        <v>14541874.199999999</v>
      </c>
      <c r="AZ39" s="639">
        <f t="shared" si="161"/>
        <v>14541874.199999999</v>
      </c>
      <c r="BA39" s="639">
        <f t="shared" si="161"/>
        <v>14541874.199999999</v>
      </c>
      <c r="BB39" s="639">
        <f t="shared" si="161"/>
        <v>14541874.199999999</v>
      </c>
      <c r="BC39" s="639">
        <f t="shared" si="161"/>
        <v>14541874.199999999</v>
      </c>
      <c r="BD39" s="639">
        <f t="shared" si="161"/>
        <v>14541874.199999999</v>
      </c>
      <c r="BE39" s="639">
        <f t="shared" si="161"/>
        <v>14541874.199999999</v>
      </c>
      <c r="BF39" s="639">
        <f t="shared" si="161"/>
        <v>14541874.199999999</v>
      </c>
      <c r="BG39" s="639">
        <f t="shared" si="161"/>
        <v>14541874.199999999</v>
      </c>
      <c r="BH39" s="639">
        <f t="shared" si="161"/>
        <v>14541874.199999999</v>
      </c>
      <c r="BI39" s="639">
        <f t="shared" si="161"/>
        <v>14541874.199999999</v>
      </c>
    </row>
    <row r="40" spans="1:61" outlineLevel="1" x14ac:dyDescent="0.25">
      <c r="A40" s="1" t="s">
        <v>323</v>
      </c>
      <c r="B40" s="639">
        <f>B34/$K$5</f>
        <v>0</v>
      </c>
      <c r="C40" s="639">
        <f t="shared" ref="C40:M40" si="162">C34/$K$5</f>
        <v>0</v>
      </c>
      <c r="D40" s="639">
        <f t="shared" si="162"/>
        <v>0</v>
      </c>
      <c r="E40" s="639">
        <f t="shared" si="162"/>
        <v>0</v>
      </c>
      <c r="F40" s="639">
        <f t="shared" si="162"/>
        <v>0</v>
      </c>
      <c r="G40" s="639">
        <f t="shared" si="162"/>
        <v>0</v>
      </c>
      <c r="H40" s="639">
        <f t="shared" si="162"/>
        <v>26666.666666666668</v>
      </c>
      <c r="I40" s="639">
        <f t="shared" si="162"/>
        <v>34666.666666666672</v>
      </c>
      <c r="J40" s="639">
        <f t="shared" si="162"/>
        <v>45066.666666666672</v>
      </c>
      <c r="K40" s="639">
        <f t="shared" si="162"/>
        <v>58586.666666666672</v>
      </c>
      <c r="L40" s="639">
        <f t="shared" si="162"/>
        <v>76162.666666666686</v>
      </c>
      <c r="M40" s="639">
        <f t="shared" si="162"/>
        <v>99011.466666666674</v>
      </c>
      <c r="N40" s="639">
        <f t="shared" ref="N40:BI40" si="163">N34/$K$5</f>
        <v>538587.93333333335</v>
      </c>
      <c r="O40" s="639">
        <f t="shared" si="163"/>
        <v>538587.93333333335</v>
      </c>
      <c r="P40" s="639">
        <f t="shared" si="163"/>
        <v>538587.93333333335</v>
      </c>
      <c r="Q40" s="639">
        <f t="shared" si="163"/>
        <v>538587.93333333335</v>
      </c>
      <c r="R40" s="639">
        <f t="shared" si="163"/>
        <v>538587.93333333335</v>
      </c>
      <c r="S40" s="639">
        <f t="shared" si="163"/>
        <v>538587.93333333335</v>
      </c>
      <c r="T40" s="639">
        <f t="shared" si="163"/>
        <v>538587.93333333335</v>
      </c>
      <c r="U40" s="639">
        <f t="shared" si="163"/>
        <v>538587.93333333335</v>
      </c>
      <c r="V40" s="639">
        <f t="shared" si="163"/>
        <v>538587.93333333335</v>
      </c>
      <c r="W40" s="639">
        <f t="shared" si="163"/>
        <v>538587.93333333335</v>
      </c>
      <c r="X40" s="639">
        <f t="shared" si="163"/>
        <v>538587.93333333335</v>
      </c>
      <c r="Y40" s="639">
        <f t="shared" si="163"/>
        <v>538587.93333333335</v>
      </c>
      <c r="Z40" s="639">
        <f t="shared" si="163"/>
        <v>1077175.8666666667</v>
      </c>
      <c r="AA40" s="639">
        <f t="shared" si="163"/>
        <v>1077175.8666666667</v>
      </c>
      <c r="AB40" s="639">
        <f t="shared" si="163"/>
        <v>1077175.8666666667</v>
      </c>
      <c r="AC40" s="639">
        <f t="shared" si="163"/>
        <v>1077175.8666666667</v>
      </c>
      <c r="AD40" s="639">
        <f t="shared" si="163"/>
        <v>1077175.8666666667</v>
      </c>
      <c r="AE40" s="639">
        <f t="shared" si="163"/>
        <v>1077175.8666666667</v>
      </c>
      <c r="AF40" s="639">
        <f t="shared" si="163"/>
        <v>1077175.8666666667</v>
      </c>
      <c r="AG40" s="639">
        <f t="shared" si="163"/>
        <v>1077175.8666666667</v>
      </c>
      <c r="AH40" s="639">
        <f t="shared" si="163"/>
        <v>1077175.8666666667</v>
      </c>
      <c r="AI40" s="639">
        <f t="shared" si="163"/>
        <v>1077175.8666666667</v>
      </c>
      <c r="AJ40" s="639">
        <f t="shared" si="163"/>
        <v>1077175.8666666667</v>
      </c>
      <c r="AK40" s="639">
        <f t="shared" si="163"/>
        <v>1077175.8666666667</v>
      </c>
      <c r="AL40" s="639">
        <f t="shared" si="163"/>
        <v>1615763.8000000003</v>
      </c>
      <c r="AM40" s="639">
        <f t="shared" si="163"/>
        <v>1615763.8000000003</v>
      </c>
      <c r="AN40" s="639">
        <f t="shared" si="163"/>
        <v>1615763.8000000003</v>
      </c>
      <c r="AO40" s="639">
        <f t="shared" si="163"/>
        <v>1615763.8000000003</v>
      </c>
      <c r="AP40" s="639">
        <f t="shared" si="163"/>
        <v>1615763.8000000003</v>
      </c>
      <c r="AQ40" s="639">
        <f t="shared" si="163"/>
        <v>1615763.8000000003</v>
      </c>
      <c r="AR40" s="639">
        <f t="shared" si="163"/>
        <v>1615763.8000000003</v>
      </c>
      <c r="AS40" s="639">
        <f t="shared" si="163"/>
        <v>1615763.8000000003</v>
      </c>
      <c r="AT40" s="639">
        <f t="shared" si="163"/>
        <v>1615763.8000000003</v>
      </c>
      <c r="AU40" s="639">
        <f t="shared" si="163"/>
        <v>1615763.8000000003</v>
      </c>
      <c r="AV40" s="639">
        <f t="shared" si="163"/>
        <v>1615763.8000000003</v>
      </c>
      <c r="AW40" s="639">
        <f t="shared" si="163"/>
        <v>1615763.8000000003</v>
      </c>
      <c r="AX40" s="639">
        <f t="shared" si="163"/>
        <v>1938916.56</v>
      </c>
      <c r="AY40" s="639">
        <f t="shared" si="163"/>
        <v>1938916.56</v>
      </c>
      <c r="AZ40" s="639">
        <f t="shared" si="163"/>
        <v>1938916.56</v>
      </c>
      <c r="BA40" s="639">
        <f t="shared" si="163"/>
        <v>1938916.56</v>
      </c>
      <c r="BB40" s="639">
        <f t="shared" si="163"/>
        <v>1938916.56</v>
      </c>
      <c r="BC40" s="639">
        <f t="shared" si="163"/>
        <v>1938916.56</v>
      </c>
      <c r="BD40" s="639">
        <f t="shared" si="163"/>
        <v>1938916.56</v>
      </c>
      <c r="BE40" s="639">
        <f t="shared" si="163"/>
        <v>1938916.56</v>
      </c>
      <c r="BF40" s="639">
        <f t="shared" si="163"/>
        <v>1938916.56</v>
      </c>
      <c r="BG40" s="639">
        <f t="shared" si="163"/>
        <v>1938916.56</v>
      </c>
      <c r="BH40" s="639">
        <f t="shared" si="163"/>
        <v>1938916.56</v>
      </c>
      <c r="BI40" s="639">
        <f t="shared" si="163"/>
        <v>1938916.56</v>
      </c>
    </row>
    <row r="41" spans="1:61" outlineLevel="1" x14ac:dyDescent="0.25">
      <c r="A41" s="1" t="s">
        <v>324</v>
      </c>
      <c r="B41" s="639">
        <f>B35/$K$6</f>
        <v>0</v>
      </c>
      <c r="C41" s="639">
        <f t="shared" ref="C41:M41" si="164">C35/$K$6</f>
        <v>0</v>
      </c>
      <c r="D41" s="639">
        <f t="shared" si="164"/>
        <v>0</v>
      </c>
      <c r="E41" s="639">
        <f t="shared" si="164"/>
        <v>0</v>
      </c>
      <c r="F41" s="639">
        <f t="shared" si="164"/>
        <v>0</v>
      </c>
      <c r="G41" s="639">
        <f t="shared" si="164"/>
        <v>0</v>
      </c>
      <c r="H41" s="639">
        <f t="shared" si="164"/>
        <v>8000</v>
      </c>
      <c r="I41" s="639">
        <f t="shared" si="164"/>
        <v>10400</v>
      </c>
      <c r="J41" s="639">
        <f t="shared" si="164"/>
        <v>13520</v>
      </c>
      <c r="K41" s="639">
        <f t="shared" si="164"/>
        <v>17576</v>
      </c>
      <c r="L41" s="639">
        <f t="shared" si="164"/>
        <v>22848.800000000003</v>
      </c>
      <c r="M41" s="639">
        <f t="shared" si="164"/>
        <v>29703.440000000002</v>
      </c>
      <c r="N41" s="639">
        <f t="shared" ref="N41:BI41" si="165">N35/$K$6</f>
        <v>161576.38</v>
      </c>
      <c r="O41" s="639">
        <f t="shared" si="165"/>
        <v>161576.38</v>
      </c>
      <c r="P41" s="639">
        <f t="shared" si="165"/>
        <v>161576.38</v>
      </c>
      <c r="Q41" s="639">
        <f t="shared" si="165"/>
        <v>161576.38</v>
      </c>
      <c r="R41" s="639">
        <f t="shared" si="165"/>
        <v>161576.38</v>
      </c>
      <c r="S41" s="639">
        <f t="shared" si="165"/>
        <v>161576.38</v>
      </c>
      <c r="T41" s="639">
        <f t="shared" si="165"/>
        <v>161576.38</v>
      </c>
      <c r="U41" s="639">
        <f t="shared" si="165"/>
        <v>161576.38</v>
      </c>
      <c r="V41" s="639">
        <f t="shared" si="165"/>
        <v>161576.38</v>
      </c>
      <c r="W41" s="639">
        <f t="shared" si="165"/>
        <v>161576.38</v>
      </c>
      <c r="X41" s="639">
        <f t="shared" si="165"/>
        <v>161576.38</v>
      </c>
      <c r="Y41" s="639">
        <f t="shared" si="165"/>
        <v>161576.38</v>
      </c>
      <c r="Z41" s="639">
        <f t="shared" si="165"/>
        <v>323152.76</v>
      </c>
      <c r="AA41" s="639">
        <f t="shared" si="165"/>
        <v>323152.76</v>
      </c>
      <c r="AB41" s="639">
        <f t="shared" si="165"/>
        <v>323152.76</v>
      </c>
      <c r="AC41" s="639">
        <f t="shared" si="165"/>
        <v>323152.76</v>
      </c>
      <c r="AD41" s="639">
        <f t="shared" si="165"/>
        <v>323152.76</v>
      </c>
      <c r="AE41" s="639">
        <f t="shared" si="165"/>
        <v>323152.76</v>
      </c>
      <c r="AF41" s="639">
        <f t="shared" si="165"/>
        <v>323152.76</v>
      </c>
      <c r="AG41" s="639">
        <f t="shared" si="165"/>
        <v>323152.76</v>
      </c>
      <c r="AH41" s="639">
        <f t="shared" si="165"/>
        <v>323152.76</v>
      </c>
      <c r="AI41" s="639">
        <f t="shared" si="165"/>
        <v>323152.76</v>
      </c>
      <c r="AJ41" s="639">
        <f t="shared" si="165"/>
        <v>323152.76</v>
      </c>
      <c r="AK41" s="639">
        <f t="shared" si="165"/>
        <v>323152.76</v>
      </c>
      <c r="AL41" s="639">
        <f t="shared" si="165"/>
        <v>484729.14000000007</v>
      </c>
      <c r="AM41" s="639">
        <f t="shared" si="165"/>
        <v>484729.14000000007</v>
      </c>
      <c r="AN41" s="639">
        <f t="shared" si="165"/>
        <v>484729.14000000007</v>
      </c>
      <c r="AO41" s="639">
        <f t="shared" si="165"/>
        <v>484729.14000000007</v>
      </c>
      <c r="AP41" s="639">
        <f t="shared" si="165"/>
        <v>484729.14000000007</v>
      </c>
      <c r="AQ41" s="639">
        <f t="shared" si="165"/>
        <v>484729.14000000007</v>
      </c>
      <c r="AR41" s="639">
        <f t="shared" si="165"/>
        <v>484729.14000000007</v>
      </c>
      <c r="AS41" s="639">
        <f t="shared" si="165"/>
        <v>484729.14000000007</v>
      </c>
      <c r="AT41" s="639">
        <f t="shared" si="165"/>
        <v>484729.14000000007</v>
      </c>
      <c r="AU41" s="639">
        <f t="shared" si="165"/>
        <v>484729.14000000007</v>
      </c>
      <c r="AV41" s="639">
        <f t="shared" si="165"/>
        <v>484729.14000000007</v>
      </c>
      <c r="AW41" s="639">
        <f t="shared" si="165"/>
        <v>484729.14000000007</v>
      </c>
      <c r="AX41" s="639">
        <f t="shared" si="165"/>
        <v>581674.96799999999</v>
      </c>
      <c r="AY41" s="639">
        <f t="shared" si="165"/>
        <v>581674.96799999999</v>
      </c>
      <c r="AZ41" s="639">
        <f t="shared" si="165"/>
        <v>581674.96799999999</v>
      </c>
      <c r="BA41" s="639">
        <f t="shared" si="165"/>
        <v>581674.96799999999</v>
      </c>
      <c r="BB41" s="639">
        <f t="shared" si="165"/>
        <v>581674.96799999999</v>
      </c>
      <c r="BC41" s="639">
        <f t="shared" si="165"/>
        <v>581674.96799999999</v>
      </c>
      <c r="BD41" s="639">
        <f t="shared" si="165"/>
        <v>581674.96799999999</v>
      </c>
      <c r="BE41" s="639">
        <f t="shared" si="165"/>
        <v>581674.96799999999</v>
      </c>
      <c r="BF41" s="639">
        <f t="shared" si="165"/>
        <v>581674.96799999999</v>
      </c>
      <c r="BG41" s="639">
        <f t="shared" si="165"/>
        <v>581674.96799999999</v>
      </c>
      <c r="BH41" s="639">
        <f t="shared" si="165"/>
        <v>581674.96799999999</v>
      </c>
      <c r="BI41" s="639">
        <f t="shared" si="165"/>
        <v>581674.96799999999</v>
      </c>
    </row>
    <row r="42" spans="1:61" outlineLevel="1" x14ac:dyDescent="0.25">
      <c r="A42" s="1" t="s">
        <v>325</v>
      </c>
      <c r="B42" s="639">
        <f>B36/$K$7</f>
        <v>0</v>
      </c>
      <c r="C42" s="639">
        <f t="shared" ref="C42:M42" si="166">C36/$K$7</f>
        <v>0</v>
      </c>
      <c r="D42" s="639">
        <f t="shared" si="166"/>
        <v>0</v>
      </c>
      <c r="E42" s="639">
        <f t="shared" si="166"/>
        <v>0</v>
      </c>
      <c r="F42" s="639">
        <f t="shared" si="166"/>
        <v>0</v>
      </c>
      <c r="G42" s="639">
        <f t="shared" si="166"/>
        <v>0</v>
      </c>
      <c r="H42" s="639">
        <f t="shared" si="166"/>
        <v>10000</v>
      </c>
      <c r="I42" s="639">
        <f t="shared" si="166"/>
        <v>13000</v>
      </c>
      <c r="J42" s="639">
        <f t="shared" si="166"/>
        <v>16900</v>
      </c>
      <c r="K42" s="639">
        <f t="shared" si="166"/>
        <v>21970</v>
      </c>
      <c r="L42" s="639">
        <f t="shared" si="166"/>
        <v>28561.000000000004</v>
      </c>
      <c r="M42" s="639">
        <f t="shared" si="166"/>
        <v>37129.300000000003</v>
      </c>
      <c r="N42" s="639">
        <f t="shared" ref="N42:BI42" si="167">N36/$K$7</f>
        <v>201970.47500000001</v>
      </c>
      <c r="O42" s="639">
        <f t="shared" si="167"/>
        <v>201970.47500000001</v>
      </c>
      <c r="P42" s="639">
        <f t="shared" si="167"/>
        <v>201970.47500000001</v>
      </c>
      <c r="Q42" s="639">
        <f t="shared" si="167"/>
        <v>201970.47500000001</v>
      </c>
      <c r="R42" s="639">
        <f t="shared" si="167"/>
        <v>201970.47500000001</v>
      </c>
      <c r="S42" s="639">
        <f t="shared" si="167"/>
        <v>201970.47500000001</v>
      </c>
      <c r="T42" s="639">
        <f t="shared" si="167"/>
        <v>201970.47500000001</v>
      </c>
      <c r="U42" s="639">
        <f t="shared" si="167"/>
        <v>201970.47500000001</v>
      </c>
      <c r="V42" s="639">
        <f t="shared" si="167"/>
        <v>201970.47500000001</v>
      </c>
      <c r="W42" s="639">
        <f t="shared" si="167"/>
        <v>201970.47500000001</v>
      </c>
      <c r="X42" s="639">
        <f t="shared" si="167"/>
        <v>201970.47500000001</v>
      </c>
      <c r="Y42" s="639">
        <f t="shared" si="167"/>
        <v>201970.47500000001</v>
      </c>
      <c r="Z42" s="639">
        <f t="shared" si="167"/>
        <v>403940.95</v>
      </c>
      <c r="AA42" s="639">
        <f t="shared" si="167"/>
        <v>403940.95</v>
      </c>
      <c r="AB42" s="639">
        <f t="shared" si="167"/>
        <v>403940.95</v>
      </c>
      <c r="AC42" s="639">
        <f t="shared" si="167"/>
        <v>403940.95</v>
      </c>
      <c r="AD42" s="639">
        <f t="shared" si="167"/>
        <v>403940.95</v>
      </c>
      <c r="AE42" s="639">
        <f t="shared" si="167"/>
        <v>403940.95</v>
      </c>
      <c r="AF42" s="639">
        <f t="shared" si="167"/>
        <v>403940.95</v>
      </c>
      <c r="AG42" s="639">
        <f t="shared" si="167"/>
        <v>403940.95</v>
      </c>
      <c r="AH42" s="639">
        <f t="shared" si="167"/>
        <v>403940.95</v>
      </c>
      <c r="AI42" s="639">
        <f t="shared" si="167"/>
        <v>403940.95</v>
      </c>
      <c r="AJ42" s="639">
        <f t="shared" si="167"/>
        <v>403940.95</v>
      </c>
      <c r="AK42" s="639">
        <f t="shared" si="167"/>
        <v>403940.95</v>
      </c>
      <c r="AL42" s="639">
        <f t="shared" si="167"/>
        <v>605911.42500000005</v>
      </c>
      <c r="AM42" s="639">
        <f t="shared" si="167"/>
        <v>605911.42500000005</v>
      </c>
      <c r="AN42" s="639">
        <f t="shared" si="167"/>
        <v>605911.42500000005</v>
      </c>
      <c r="AO42" s="639">
        <f t="shared" si="167"/>
        <v>605911.42500000005</v>
      </c>
      <c r="AP42" s="639">
        <f t="shared" si="167"/>
        <v>605911.42500000005</v>
      </c>
      <c r="AQ42" s="639">
        <f t="shared" si="167"/>
        <v>605911.42500000005</v>
      </c>
      <c r="AR42" s="639">
        <f t="shared" si="167"/>
        <v>605911.42500000005</v>
      </c>
      <c r="AS42" s="639">
        <f t="shared" si="167"/>
        <v>605911.42500000005</v>
      </c>
      <c r="AT42" s="639">
        <f t="shared" si="167"/>
        <v>605911.42500000005</v>
      </c>
      <c r="AU42" s="639">
        <f t="shared" si="167"/>
        <v>605911.42500000005</v>
      </c>
      <c r="AV42" s="639">
        <f t="shared" si="167"/>
        <v>605911.42500000005</v>
      </c>
      <c r="AW42" s="639">
        <f t="shared" si="167"/>
        <v>605911.42500000005</v>
      </c>
      <c r="AX42" s="639">
        <f t="shared" si="167"/>
        <v>727093.71</v>
      </c>
      <c r="AY42" s="639">
        <f t="shared" si="167"/>
        <v>727093.71</v>
      </c>
      <c r="AZ42" s="639">
        <f t="shared" si="167"/>
        <v>727093.71</v>
      </c>
      <c r="BA42" s="639">
        <f t="shared" si="167"/>
        <v>727093.71</v>
      </c>
      <c r="BB42" s="639">
        <f t="shared" si="167"/>
        <v>727093.71</v>
      </c>
      <c r="BC42" s="639">
        <f t="shared" si="167"/>
        <v>727093.71</v>
      </c>
      <c r="BD42" s="639">
        <f t="shared" si="167"/>
        <v>727093.71</v>
      </c>
      <c r="BE42" s="639">
        <f t="shared" si="167"/>
        <v>727093.71</v>
      </c>
      <c r="BF42" s="639">
        <f t="shared" si="167"/>
        <v>727093.71</v>
      </c>
      <c r="BG42" s="639">
        <f t="shared" si="167"/>
        <v>727093.71</v>
      </c>
      <c r="BH42" s="639">
        <f t="shared" si="167"/>
        <v>727093.71</v>
      </c>
      <c r="BI42" s="639">
        <f t="shared" si="167"/>
        <v>727093.71</v>
      </c>
    </row>
    <row r="43" spans="1:61" outlineLevel="1" x14ac:dyDescent="0.25">
      <c r="A43" s="150" t="s">
        <v>326</v>
      </c>
      <c r="B43" s="640">
        <f>SUM(B39:B42)</f>
        <v>0</v>
      </c>
      <c r="C43" s="640">
        <f t="shared" ref="C43:M43" si="168">SUM(C39:C42)</f>
        <v>0</v>
      </c>
      <c r="D43" s="640">
        <f t="shared" si="168"/>
        <v>0</v>
      </c>
      <c r="E43" s="640">
        <f t="shared" si="168"/>
        <v>0</v>
      </c>
      <c r="F43" s="640">
        <f t="shared" si="168"/>
        <v>0</v>
      </c>
      <c r="G43" s="640">
        <f t="shared" si="168"/>
        <v>0</v>
      </c>
      <c r="H43" s="640">
        <f t="shared" si="168"/>
        <v>244666.66666666666</v>
      </c>
      <c r="I43" s="640">
        <f t="shared" si="168"/>
        <v>318066.66666666669</v>
      </c>
      <c r="J43" s="640">
        <f t="shared" si="168"/>
        <v>413486.66666666669</v>
      </c>
      <c r="K43" s="640">
        <f t="shared" si="168"/>
        <v>537532.66666666674</v>
      </c>
      <c r="L43" s="640">
        <f t="shared" si="168"/>
        <v>698792.46666666679</v>
      </c>
      <c r="M43" s="640">
        <f t="shared" si="168"/>
        <v>908430.20666666678</v>
      </c>
      <c r="N43" s="640">
        <f t="shared" ref="N43:BI43" si="169">SUM(N39:N42)</f>
        <v>4941544.2883333331</v>
      </c>
      <c r="O43" s="640">
        <f t="shared" si="169"/>
        <v>4941544.2883333331</v>
      </c>
      <c r="P43" s="640">
        <f t="shared" si="169"/>
        <v>4941544.2883333331</v>
      </c>
      <c r="Q43" s="640">
        <f t="shared" si="169"/>
        <v>4941544.2883333331</v>
      </c>
      <c r="R43" s="640">
        <f t="shared" si="169"/>
        <v>4941544.2883333331</v>
      </c>
      <c r="S43" s="640">
        <f t="shared" si="169"/>
        <v>4941544.2883333331</v>
      </c>
      <c r="T43" s="640">
        <f t="shared" si="169"/>
        <v>4941544.2883333331</v>
      </c>
      <c r="U43" s="640">
        <f t="shared" si="169"/>
        <v>4941544.2883333331</v>
      </c>
      <c r="V43" s="640">
        <f t="shared" si="169"/>
        <v>4941544.2883333331</v>
      </c>
      <c r="W43" s="640">
        <f t="shared" si="169"/>
        <v>4941544.2883333331</v>
      </c>
      <c r="X43" s="640">
        <f t="shared" si="169"/>
        <v>4941544.2883333331</v>
      </c>
      <c r="Y43" s="640">
        <f t="shared" si="169"/>
        <v>4941544.2883333331</v>
      </c>
      <c r="Z43" s="640">
        <f t="shared" si="169"/>
        <v>9883088.5766666662</v>
      </c>
      <c r="AA43" s="640">
        <f t="shared" si="169"/>
        <v>9883088.5766666662</v>
      </c>
      <c r="AB43" s="640">
        <f t="shared" si="169"/>
        <v>9883088.5766666662</v>
      </c>
      <c r="AC43" s="640">
        <f t="shared" si="169"/>
        <v>9883088.5766666662</v>
      </c>
      <c r="AD43" s="640">
        <f t="shared" si="169"/>
        <v>9883088.5766666662</v>
      </c>
      <c r="AE43" s="640">
        <f t="shared" si="169"/>
        <v>9883088.5766666662</v>
      </c>
      <c r="AF43" s="640">
        <f t="shared" si="169"/>
        <v>9883088.5766666662</v>
      </c>
      <c r="AG43" s="640">
        <f t="shared" si="169"/>
        <v>9883088.5766666662</v>
      </c>
      <c r="AH43" s="640">
        <f t="shared" si="169"/>
        <v>9883088.5766666662</v>
      </c>
      <c r="AI43" s="640">
        <f t="shared" si="169"/>
        <v>9883088.5766666662</v>
      </c>
      <c r="AJ43" s="640">
        <f t="shared" si="169"/>
        <v>9883088.5766666662</v>
      </c>
      <c r="AK43" s="640">
        <f t="shared" si="169"/>
        <v>9883088.5766666662</v>
      </c>
      <c r="AL43" s="640">
        <f t="shared" si="169"/>
        <v>14824632.865000002</v>
      </c>
      <c r="AM43" s="640">
        <f t="shared" si="169"/>
        <v>14824632.865000002</v>
      </c>
      <c r="AN43" s="640">
        <f t="shared" si="169"/>
        <v>14824632.865000002</v>
      </c>
      <c r="AO43" s="640">
        <f t="shared" si="169"/>
        <v>14824632.865000002</v>
      </c>
      <c r="AP43" s="640">
        <f t="shared" si="169"/>
        <v>14824632.865000002</v>
      </c>
      <c r="AQ43" s="640">
        <f t="shared" si="169"/>
        <v>14824632.865000002</v>
      </c>
      <c r="AR43" s="640">
        <f t="shared" si="169"/>
        <v>14824632.865000002</v>
      </c>
      <c r="AS43" s="640">
        <f t="shared" si="169"/>
        <v>14824632.865000002</v>
      </c>
      <c r="AT43" s="640">
        <f t="shared" si="169"/>
        <v>14824632.865000002</v>
      </c>
      <c r="AU43" s="640">
        <f t="shared" si="169"/>
        <v>14824632.865000002</v>
      </c>
      <c r="AV43" s="640">
        <f t="shared" si="169"/>
        <v>14824632.865000002</v>
      </c>
      <c r="AW43" s="640">
        <f t="shared" si="169"/>
        <v>14824632.865000002</v>
      </c>
      <c r="AX43" s="640">
        <f t="shared" si="169"/>
        <v>17789559.438000001</v>
      </c>
      <c r="AY43" s="640">
        <f t="shared" si="169"/>
        <v>17789559.438000001</v>
      </c>
      <c r="AZ43" s="640">
        <f t="shared" si="169"/>
        <v>17789559.438000001</v>
      </c>
      <c r="BA43" s="640">
        <f t="shared" si="169"/>
        <v>17789559.438000001</v>
      </c>
      <c r="BB43" s="640">
        <f t="shared" si="169"/>
        <v>17789559.438000001</v>
      </c>
      <c r="BC43" s="640">
        <f t="shared" si="169"/>
        <v>17789559.438000001</v>
      </c>
      <c r="BD43" s="640">
        <f t="shared" si="169"/>
        <v>17789559.438000001</v>
      </c>
      <c r="BE43" s="640">
        <f t="shared" si="169"/>
        <v>17789559.438000001</v>
      </c>
      <c r="BF43" s="640">
        <f t="shared" si="169"/>
        <v>17789559.438000001</v>
      </c>
      <c r="BG43" s="640">
        <f t="shared" si="169"/>
        <v>17789559.438000001</v>
      </c>
      <c r="BH43" s="640">
        <f t="shared" si="169"/>
        <v>17789559.438000001</v>
      </c>
      <c r="BI43" s="640">
        <f t="shared" si="169"/>
        <v>17789559.438000001</v>
      </c>
    </row>
    <row r="44" spans="1:61" outlineLevel="1" x14ac:dyDescent="0.25">
      <c r="B44" s="639"/>
      <c r="C44" s="639"/>
      <c r="D44" s="639"/>
      <c r="E44" s="639"/>
      <c r="F44" s="639"/>
      <c r="G44" s="639"/>
      <c r="H44" s="639"/>
      <c r="I44" s="639"/>
      <c r="J44" s="639"/>
      <c r="K44" s="639"/>
      <c r="L44" s="639"/>
      <c r="M44" s="639"/>
      <c r="N44" s="639"/>
      <c r="O44" s="639"/>
      <c r="P44" s="639"/>
      <c r="Q44" s="639"/>
      <c r="R44" s="639"/>
      <c r="S44" s="639"/>
      <c r="T44" s="639"/>
      <c r="U44" s="639"/>
      <c r="V44" s="639"/>
      <c r="W44" s="639"/>
      <c r="X44" s="639"/>
      <c r="Y44" s="639"/>
      <c r="Z44" s="639"/>
      <c r="AA44" s="639"/>
      <c r="AB44" s="639"/>
      <c r="AC44" s="639"/>
      <c r="AD44" s="639"/>
      <c r="AE44" s="639"/>
      <c r="AF44" s="639"/>
      <c r="AG44" s="639"/>
      <c r="AH44" s="639"/>
      <c r="AI44" s="639"/>
      <c r="AJ44" s="639"/>
      <c r="AK44" s="639"/>
      <c r="AL44" s="639"/>
      <c r="AM44" s="639"/>
      <c r="AN44" s="639"/>
      <c r="AO44" s="639"/>
      <c r="AP44" s="639"/>
      <c r="AQ44" s="639"/>
      <c r="AR44" s="639"/>
      <c r="AS44" s="639"/>
      <c r="AT44" s="639"/>
      <c r="AU44" s="639"/>
      <c r="AV44" s="639"/>
      <c r="AW44" s="639"/>
      <c r="AX44" s="639"/>
      <c r="AY44" s="639"/>
      <c r="AZ44" s="639"/>
      <c r="BA44" s="639"/>
      <c r="BB44" s="639"/>
      <c r="BC44" s="639"/>
      <c r="BD44" s="639"/>
      <c r="BE44" s="639"/>
      <c r="BF44" s="639"/>
      <c r="BG44" s="639"/>
      <c r="BH44" s="639"/>
      <c r="BI44" s="639"/>
    </row>
    <row r="45" spans="1:61" outlineLevel="1" x14ac:dyDescent="0.25">
      <c r="A45" s="150" t="s">
        <v>327</v>
      </c>
      <c r="B45" s="639"/>
      <c r="C45" s="639"/>
      <c r="D45" s="639"/>
      <c r="E45" s="639"/>
      <c r="F45" s="639"/>
      <c r="G45" s="639"/>
      <c r="H45" s="639"/>
      <c r="I45" s="639"/>
      <c r="J45" s="639"/>
      <c r="K45" s="639"/>
      <c r="L45" s="639"/>
      <c r="M45" s="639"/>
      <c r="N45" s="639"/>
      <c r="O45" s="639"/>
      <c r="P45" s="639"/>
      <c r="Q45" s="639"/>
      <c r="R45" s="639"/>
      <c r="S45" s="639"/>
      <c r="T45" s="639"/>
      <c r="U45" s="639"/>
      <c r="V45" s="639"/>
      <c r="W45" s="639"/>
      <c r="X45" s="639"/>
      <c r="Y45" s="639"/>
      <c r="Z45" s="639"/>
      <c r="AA45" s="639"/>
      <c r="AB45" s="639"/>
      <c r="AC45" s="639"/>
      <c r="AD45" s="639"/>
      <c r="AE45" s="639"/>
      <c r="AF45" s="639"/>
      <c r="AG45" s="639"/>
      <c r="AH45" s="639"/>
      <c r="AI45" s="639"/>
      <c r="AJ45" s="639"/>
      <c r="AK45" s="639"/>
      <c r="AL45" s="639"/>
      <c r="AM45" s="639"/>
      <c r="AN45" s="639"/>
      <c r="AO45" s="639"/>
      <c r="AP45" s="639"/>
      <c r="AQ45" s="639"/>
      <c r="AR45" s="639"/>
      <c r="AS45" s="639"/>
      <c r="AT45" s="639"/>
      <c r="AU45" s="639"/>
      <c r="AV45" s="639"/>
      <c r="AW45" s="639"/>
      <c r="AX45" s="639"/>
      <c r="AY45" s="639"/>
      <c r="AZ45" s="639"/>
      <c r="BA45" s="639"/>
      <c r="BB45" s="639"/>
      <c r="BC45" s="639"/>
      <c r="BD45" s="639"/>
      <c r="BE45" s="639"/>
      <c r="BF45" s="639"/>
      <c r="BG45" s="639"/>
      <c r="BH45" s="639"/>
      <c r="BI45" s="639"/>
    </row>
    <row r="46" spans="1:61" outlineLevel="1" x14ac:dyDescent="0.25">
      <c r="A46" s="1" t="s">
        <v>328</v>
      </c>
      <c r="B46" s="639">
        <f>B39*$K$8</f>
        <v>0</v>
      </c>
      <c r="C46" s="639">
        <f t="shared" ref="C46:M46" si="170">C39*$K$8</f>
        <v>0</v>
      </c>
      <c r="D46" s="639">
        <f t="shared" si="170"/>
        <v>0</v>
      </c>
      <c r="E46" s="639">
        <f t="shared" si="170"/>
        <v>0</v>
      </c>
      <c r="F46" s="639">
        <f t="shared" si="170"/>
        <v>0</v>
      </c>
      <c r="G46" s="639">
        <f t="shared" si="170"/>
        <v>0</v>
      </c>
      <c r="H46" s="639">
        <f t="shared" si="170"/>
        <v>50000</v>
      </c>
      <c r="I46" s="639">
        <f t="shared" si="170"/>
        <v>65000</v>
      </c>
      <c r="J46" s="639">
        <f t="shared" si="170"/>
        <v>84500</v>
      </c>
      <c r="K46" s="639">
        <f t="shared" si="170"/>
        <v>109850</v>
      </c>
      <c r="L46" s="639">
        <f t="shared" si="170"/>
        <v>142805</v>
      </c>
      <c r="M46" s="639">
        <f t="shared" si="170"/>
        <v>185646.5</v>
      </c>
      <c r="N46" s="639">
        <f t="shared" ref="N46:BI46" si="171">N39*$K$8</f>
        <v>1009852.375</v>
      </c>
      <c r="O46" s="639">
        <f t="shared" si="171"/>
        <v>1009852.375</v>
      </c>
      <c r="P46" s="639">
        <f t="shared" si="171"/>
        <v>1009852.375</v>
      </c>
      <c r="Q46" s="639">
        <f t="shared" si="171"/>
        <v>1009852.375</v>
      </c>
      <c r="R46" s="639">
        <f t="shared" si="171"/>
        <v>1009852.375</v>
      </c>
      <c r="S46" s="639">
        <f t="shared" si="171"/>
        <v>1009852.375</v>
      </c>
      <c r="T46" s="639">
        <f t="shared" si="171"/>
        <v>1009852.375</v>
      </c>
      <c r="U46" s="639">
        <f t="shared" si="171"/>
        <v>1009852.375</v>
      </c>
      <c r="V46" s="639">
        <f t="shared" si="171"/>
        <v>1009852.375</v>
      </c>
      <c r="W46" s="639">
        <f t="shared" si="171"/>
        <v>1009852.375</v>
      </c>
      <c r="X46" s="639">
        <f t="shared" si="171"/>
        <v>1009852.375</v>
      </c>
      <c r="Y46" s="639">
        <f t="shared" si="171"/>
        <v>1009852.375</v>
      </c>
      <c r="Z46" s="639">
        <f t="shared" si="171"/>
        <v>2019704.75</v>
      </c>
      <c r="AA46" s="639">
        <f t="shared" si="171"/>
        <v>2019704.75</v>
      </c>
      <c r="AB46" s="639">
        <f t="shared" si="171"/>
        <v>2019704.75</v>
      </c>
      <c r="AC46" s="639">
        <f t="shared" si="171"/>
        <v>2019704.75</v>
      </c>
      <c r="AD46" s="639">
        <f t="shared" si="171"/>
        <v>2019704.75</v>
      </c>
      <c r="AE46" s="639">
        <f t="shared" si="171"/>
        <v>2019704.75</v>
      </c>
      <c r="AF46" s="639">
        <f t="shared" si="171"/>
        <v>2019704.75</v>
      </c>
      <c r="AG46" s="639">
        <f t="shared" si="171"/>
        <v>2019704.75</v>
      </c>
      <c r="AH46" s="639">
        <f t="shared" si="171"/>
        <v>2019704.75</v>
      </c>
      <c r="AI46" s="639">
        <f t="shared" si="171"/>
        <v>2019704.75</v>
      </c>
      <c r="AJ46" s="639">
        <f t="shared" si="171"/>
        <v>2019704.75</v>
      </c>
      <c r="AK46" s="639">
        <f t="shared" si="171"/>
        <v>2019704.75</v>
      </c>
      <c r="AL46" s="639">
        <f t="shared" si="171"/>
        <v>3029557.125</v>
      </c>
      <c r="AM46" s="639">
        <f t="shared" si="171"/>
        <v>3029557.125</v>
      </c>
      <c r="AN46" s="639">
        <f t="shared" si="171"/>
        <v>3029557.125</v>
      </c>
      <c r="AO46" s="639">
        <f t="shared" si="171"/>
        <v>3029557.125</v>
      </c>
      <c r="AP46" s="639">
        <f t="shared" si="171"/>
        <v>3029557.125</v>
      </c>
      <c r="AQ46" s="639">
        <f t="shared" si="171"/>
        <v>3029557.125</v>
      </c>
      <c r="AR46" s="639">
        <f t="shared" si="171"/>
        <v>3029557.125</v>
      </c>
      <c r="AS46" s="639">
        <f t="shared" si="171"/>
        <v>3029557.125</v>
      </c>
      <c r="AT46" s="639">
        <f t="shared" si="171"/>
        <v>3029557.125</v>
      </c>
      <c r="AU46" s="639">
        <f t="shared" si="171"/>
        <v>3029557.125</v>
      </c>
      <c r="AV46" s="639">
        <f t="shared" si="171"/>
        <v>3029557.125</v>
      </c>
      <c r="AW46" s="639">
        <f t="shared" si="171"/>
        <v>3029557.125</v>
      </c>
      <c r="AX46" s="639">
        <f t="shared" si="171"/>
        <v>3635468.55</v>
      </c>
      <c r="AY46" s="639">
        <f t="shared" si="171"/>
        <v>3635468.55</v>
      </c>
      <c r="AZ46" s="639">
        <f t="shared" si="171"/>
        <v>3635468.55</v>
      </c>
      <c r="BA46" s="639">
        <f t="shared" si="171"/>
        <v>3635468.55</v>
      </c>
      <c r="BB46" s="639">
        <f t="shared" si="171"/>
        <v>3635468.55</v>
      </c>
      <c r="BC46" s="639">
        <f t="shared" si="171"/>
        <v>3635468.55</v>
      </c>
      <c r="BD46" s="639">
        <f t="shared" si="171"/>
        <v>3635468.55</v>
      </c>
      <c r="BE46" s="639">
        <f t="shared" si="171"/>
        <v>3635468.55</v>
      </c>
      <c r="BF46" s="639">
        <f t="shared" si="171"/>
        <v>3635468.55</v>
      </c>
      <c r="BG46" s="639">
        <f t="shared" si="171"/>
        <v>3635468.55</v>
      </c>
      <c r="BH46" s="639">
        <f t="shared" si="171"/>
        <v>3635468.55</v>
      </c>
      <c r="BI46" s="639">
        <f t="shared" si="171"/>
        <v>3635468.55</v>
      </c>
    </row>
    <row r="47" spans="1:61" outlineLevel="1" x14ac:dyDescent="0.25">
      <c r="A47" s="1" t="s">
        <v>329</v>
      </c>
      <c r="B47" s="639">
        <f t="shared" ref="B47:M49" si="172">B40*$K$8</f>
        <v>0</v>
      </c>
      <c r="C47" s="639">
        <f t="shared" si="172"/>
        <v>0</v>
      </c>
      <c r="D47" s="639">
        <f t="shared" si="172"/>
        <v>0</v>
      </c>
      <c r="E47" s="639">
        <f t="shared" si="172"/>
        <v>0</v>
      </c>
      <c r="F47" s="639">
        <f t="shared" si="172"/>
        <v>0</v>
      </c>
      <c r="G47" s="639">
        <f t="shared" si="172"/>
        <v>0</v>
      </c>
      <c r="H47" s="639">
        <f t="shared" si="172"/>
        <v>6666.666666666667</v>
      </c>
      <c r="I47" s="639">
        <f t="shared" si="172"/>
        <v>8666.6666666666679</v>
      </c>
      <c r="J47" s="639">
        <f t="shared" si="172"/>
        <v>11266.666666666668</v>
      </c>
      <c r="K47" s="639">
        <f t="shared" si="172"/>
        <v>14646.666666666668</v>
      </c>
      <c r="L47" s="639">
        <f t="shared" si="172"/>
        <v>19040.666666666672</v>
      </c>
      <c r="M47" s="639">
        <f t="shared" si="172"/>
        <v>24752.866666666669</v>
      </c>
      <c r="N47" s="639">
        <f t="shared" ref="N47:BI47" si="173">N40*$K$8</f>
        <v>134646.98333333334</v>
      </c>
      <c r="O47" s="639">
        <f t="shared" si="173"/>
        <v>134646.98333333334</v>
      </c>
      <c r="P47" s="639">
        <f t="shared" si="173"/>
        <v>134646.98333333334</v>
      </c>
      <c r="Q47" s="639">
        <f t="shared" si="173"/>
        <v>134646.98333333334</v>
      </c>
      <c r="R47" s="639">
        <f t="shared" si="173"/>
        <v>134646.98333333334</v>
      </c>
      <c r="S47" s="639">
        <f t="shared" si="173"/>
        <v>134646.98333333334</v>
      </c>
      <c r="T47" s="639">
        <f t="shared" si="173"/>
        <v>134646.98333333334</v>
      </c>
      <c r="U47" s="639">
        <f t="shared" si="173"/>
        <v>134646.98333333334</v>
      </c>
      <c r="V47" s="639">
        <f t="shared" si="173"/>
        <v>134646.98333333334</v>
      </c>
      <c r="W47" s="639">
        <f t="shared" si="173"/>
        <v>134646.98333333334</v>
      </c>
      <c r="X47" s="639">
        <f t="shared" si="173"/>
        <v>134646.98333333334</v>
      </c>
      <c r="Y47" s="639">
        <f t="shared" si="173"/>
        <v>134646.98333333334</v>
      </c>
      <c r="Z47" s="639">
        <f t="shared" si="173"/>
        <v>269293.96666666667</v>
      </c>
      <c r="AA47" s="639">
        <f t="shared" si="173"/>
        <v>269293.96666666667</v>
      </c>
      <c r="AB47" s="639">
        <f t="shared" si="173"/>
        <v>269293.96666666667</v>
      </c>
      <c r="AC47" s="639">
        <f t="shared" si="173"/>
        <v>269293.96666666667</v>
      </c>
      <c r="AD47" s="639">
        <f t="shared" si="173"/>
        <v>269293.96666666667</v>
      </c>
      <c r="AE47" s="639">
        <f t="shared" si="173"/>
        <v>269293.96666666667</v>
      </c>
      <c r="AF47" s="639">
        <f t="shared" si="173"/>
        <v>269293.96666666667</v>
      </c>
      <c r="AG47" s="639">
        <f t="shared" si="173"/>
        <v>269293.96666666667</v>
      </c>
      <c r="AH47" s="639">
        <f t="shared" si="173"/>
        <v>269293.96666666667</v>
      </c>
      <c r="AI47" s="639">
        <f t="shared" si="173"/>
        <v>269293.96666666667</v>
      </c>
      <c r="AJ47" s="639">
        <f t="shared" si="173"/>
        <v>269293.96666666667</v>
      </c>
      <c r="AK47" s="639">
        <f t="shared" si="173"/>
        <v>269293.96666666667</v>
      </c>
      <c r="AL47" s="639">
        <f t="shared" si="173"/>
        <v>403940.95000000007</v>
      </c>
      <c r="AM47" s="639">
        <f t="shared" si="173"/>
        <v>403940.95000000007</v>
      </c>
      <c r="AN47" s="639">
        <f t="shared" si="173"/>
        <v>403940.95000000007</v>
      </c>
      <c r="AO47" s="639">
        <f t="shared" si="173"/>
        <v>403940.95000000007</v>
      </c>
      <c r="AP47" s="639">
        <f t="shared" si="173"/>
        <v>403940.95000000007</v>
      </c>
      <c r="AQ47" s="639">
        <f t="shared" si="173"/>
        <v>403940.95000000007</v>
      </c>
      <c r="AR47" s="639">
        <f t="shared" si="173"/>
        <v>403940.95000000007</v>
      </c>
      <c r="AS47" s="639">
        <f t="shared" si="173"/>
        <v>403940.95000000007</v>
      </c>
      <c r="AT47" s="639">
        <f t="shared" si="173"/>
        <v>403940.95000000007</v>
      </c>
      <c r="AU47" s="639">
        <f t="shared" si="173"/>
        <v>403940.95000000007</v>
      </c>
      <c r="AV47" s="639">
        <f t="shared" si="173"/>
        <v>403940.95000000007</v>
      </c>
      <c r="AW47" s="639">
        <f t="shared" si="173"/>
        <v>403940.95000000007</v>
      </c>
      <c r="AX47" s="639">
        <f t="shared" si="173"/>
        <v>484729.14</v>
      </c>
      <c r="AY47" s="639">
        <f t="shared" si="173"/>
        <v>484729.14</v>
      </c>
      <c r="AZ47" s="639">
        <f t="shared" si="173"/>
        <v>484729.14</v>
      </c>
      <c r="BA47" s="639">
        <f t="shared" si="173"/>
        <v>484729.14</v>
      </c>
      <c r="BB47" s="639">
        <f t="shared" si="173"/>
        <v>484729.14</v>
      </c>
      <c r="BC47" s="639">
        <f t="shared" si="173"/>
        <v>484729.14</v>
      </c>
      <c r="BD47" s="639">
        <f t="shared" si="173"/>
        <v>484729.14</v>
      </c>
      <c r="BE47" s="639">
        <f t="shared" si="173"/>
        <v>484729.14</v>
      </c>
      <c r="BF47" s="639">
        <f t="shared" si="173"/>
        <v>484729.14</v>
      </c>
      <c r="BG47" s="639">
        <f t="shared" si="173"/>
        <v>484729.14</v>
      </c>
      <c r="BH47" s="639">
        <f t="shared" si="173"/>
        <v>484729.14</v>
      </c>
      <c r="BI47" s="639">
        <f t="shared" si="173"/>
        <v>484729.14</v>
      </c>
    </row>
    <row r="48" spans="1:61" outlineLevel="1" x14ac:dyDescent="0.25">
      <c r="A48" s="1" t="s">
        <v>330</v>
      </c>
      <c r="B48" s="639">
        <f t="shared" si="172"/>
        <v>0</v>
      </c>
      <c r="C48" s="639">
        <f t="shared" si="172"/>
        <v>0</v>
      </c>
      <c r="D48" s="639">
        <f t="shared" si="172"/>
        <v>0</v>
      </c>
      <c r="E48" s="639">
        <f t="shared" si="172"/>
        <v>0</v>
      </c>
      <c r="F48" s="639">
        <f t="shared" si="172"/>
        <v>0</v>
      </c>
      <c r="G48" s="639">
        <f t="shared" si="172"/>
        <v>0</v>
      </c>
      <c r="H48" s="639">
        <f t="shared" si="172"/>
        <v>2000</v>
      </c>
      <c r="I48" s="639">
        <f t="shared" si="172"/>
        <v>2600</v>
      </c>
      <c r="J48" s="639">
        <f t="shared" si="172"/>
        <v>3380</v>
      </c>
      <c r="K48" s="639">
        <f t="shared" si="172"/>
        <v>4394</v>
      </c>
      <c r="L48" s="639">
        <f t="shared" si="172"/>
        <v>5712.2000000000007</v>
      </c>
      <c r="M48" s="639">
        <f t="shared" si="172"/>
        <v>7425.8600000000006</v>
      </c>
      <c r="N48" s="639">
        <f t="shared" ref="N48:BI48" si="174">N41*$K$8</f>
        <v>40394.095000000001</v>
      </c>
      <c r="O48" s="639">
        <f t="shared" si="174"/>
        <v>40394.095000000001</v>
      </c>
      <c r="P48" s="639">
        <f t="shared" si="174"/>
        <v>40394.095000000001</v>
      </c>
      <c r="Q48" s="639">
        <f t="shared" si="174"/>
        <v>40394.095000000001</v>
      </c>
      <c r="R48" s="639">
        <f t="shared" si="174"/>
        <v>40394.095000000001</v>
      </c>
      <c r="S48" s="639">
        <f t="shared" si="174"/>
        <v>40394.095000000001</v>
      </c>
      <c r="T48" s="639">
        <f t="shared" si="174"/>
        <v>40394.095000000001</v>
      </c>
      <c r="U48" s="639">
        <f t="shared" si="174"/>
        <v>40394.095000000001</v>
      </c>
      <c r="V48" s="639">
        <f t="shared" si="174"/>
        <v>40394.095000000001</v>
      </c>
      <c r="W48" s="639">
        <f t="shared" si="174"/>
        <v>40394.095000000001</v>
      </c>
      <c r="X48" s="639">
        <f t="shared" si="174"/>
        <v>40394.095000000001</v>
      </c>
      <c r="Y48" s="639">
        <f t="shared" si="174"/>
        <v>40394.095000000001</v>
      </c>
      <c r="Z48" s="639">
        <f t="shared" si="174"/>
        <v>80788.19</v>
      </c>
      <c r="AA48" s="639">
        <f t="shared" si="174"/>
        <v>80788.19</v>
      </c>
      <c r="AB48" s="639">
        <f t="shared" si="174"/>
        <v>80788.19</v>
      </c>
      <c r="AC48" s="639">
        <f t="shared" si="174"/>
        <v>80788.19</v>
      </c>
      <c r="AD48" s="639">
        <f t="shared" si="174"/>
        <v>80788.19</v>
      </c>
      <c r="AE48" s="639">
        <f t="shared" si="174"/>
        <v>80788.19</v>
      </c>
      <c r="AF48" s="639">
        <f t="shared" si="174"/>
        <v>80788.19</v>
      </c>
      <c r="AG48" s="639">
        <f t="shared" si="174"/>
        <v>80788.19</v>
      </c>
      <c r="AH48" s="639">
        <f t="shared" si="174"/>
        <v>80788.19</v>
      </c>
      <c r="AI48" s="639">
        <f t="shared" si="174"/>
        <v>80788.19</v>
      </c>
      <c r="AJ48" s="639">
        <f t="shared" si="174"/>
        <v>80788.19</v>
      </c>
      <c r="AK48" s="639">
        <f t="shared" si="174"/>
        <v>80788.19</v>
      </c>
      <c r="AL48" s="639">
        <f t="shared" si="174"/>
        <v>121182.28500000002</v>
      </c>
      <c r="AM48" s="639">
        <f t="shared" si="174"/>
        <v>121182.28500000002</v>
      </c>
      <c r="AN48" s="639">
        <f t="shared" si="174"/>
        <v>121182.28500000002</v>
      </c>
      <c r="AO48" s="639">
        <f t="shared" si="174"/>
        <v>121182.28500000002</v>
      </c>
      <c r="AP48" s="639">
        <f t="shared" si="174"/>
        <v>121182.28500000002</v>
      </c>
      <c r="AQ48" s="639">
        <f t="shared" si="174"/>
        <v>121182.28500000002</v>
      </c>
      <c r="AR48" s="639">
        <f t="shared" si="174"/>
        <v>121182.28500000002</v>
      </c>
      <c r="AS48" s="639">
        <f t="shared" si="174"/>
        <v>121182.28500000002</v>
      </c>
      <c r="AT48" s="639">
        <f t="shared" si="174"/>
        <v>121182.28500000002</v>
      </c>
      <c r="AU48" s="639">
        <f t="shared" si="174"/>
        <v>121182.28500000002</v>
      </c>
      <c r="AV48" s="639">
        <f t="shared" si="174"/>
        <v>121182.28500000002</v>
      </c>
      <c r="AW48" s="639">
        <f t="shared" si="174"/>
        <v>121182.28500000002</v>
      </c>
      <c r="AX48" s="639">
        <f t="shared" si="174"/>
        <v>145418.742</v>
      </c>
      <c r="AY48" s="639">
        <f t="shared" si="174"/>
        <v>145418.742</v>
      </c>
      <c r="AZ48" s="639">
        <f t="shared" si="174"/>
        <v>145418.742</v>
      </c>
      <c r="BA48" s="639">
        <f t="shared" si="174"/>
        <v>145418.742</v>
      </c>
      <c r="BB48" s="639">
        <f t="shared" si="174"/>
        <v>145418.742</v>
      </c>
      <c r="BC48" s="639">
        <f t="shared" si="174"/>
        <v>145418.742</v>
      </c>
      <c r="BD48" s="639">
        <f t="shared" si="174"/>
        <v>145418.742</v>
      </c>
      <c r="BE48" s="639">
        <f t="shared" si="174"/>
        <v>145418.742</v>
      </c>
      <c r="BF48" s="639">
        <f t="shared" si="174"/>
        <v>145418.742</v>
      </c>
      <c r="BG48" s="639">
        <f t="shared" si="174"/>
        <v>145418.742</v>
      </c>
      <c r="BH48" s="639">
        <f t="shared" si="174"/>
        <v>145418.742</v>
      </c>
      <c r="BI48" s="639">
        <f t="shared" si="174"/>
        <v>145418.742</v>
      </c>
    </row>
    <row r="49" spans="1:61" outlineLevel="1" x14ac:dyDescent="0.25">
      <c r="A49" s="1" t="s">
        <v>331</v>
      </c>
      <c r="B49" s="639">
        <f t="shared" si="172"/>
        <v>0</v>
      </c>
      <c r="C49" s="639">
        <f t="shared" si="172"/>
        <v>0</v>
      </c>
      <c r="D49" s="639">
        <f t="shared" si="172"/>
        <v>0</v>
      </c>
      <c r="E49" s="639">
        <f t="shared" si="172"/>
        <v>0</v>
      </c>
      <c r="F49" s="639">
        <f t="shared" si="172"/>
        <v>0</v>
      </c>
      <c r="G49" s="639">
        <f t="shared" si="172"/>
        <v>0</v>
      </c>
      <c r="H49" s="639">
        <f t="shared" si="172"/>
        <v>2500</v>
      </c>
      <c r="I49" s="639">
        <f t="shared" si="172"/>
        <v>3250</v>
      </c>
      <c r="J49" s="639">
        <f t="shared" si="172"/>
        <v>4225</v>
      </c>
      <c r="K49" s="639">
        <f t="shared" si="172"/>
        <v>5492.5</v>
      </c>
      <c r="L49" s="639">
        <f t="shared" si="172"/>
        <v>7140.2500000000009</v>
      </c>
      <c r="M49" s="639">
        <f t="shared" si="172"/>
        <v>9282.3250000000007</v>
      </c>
      <c r="N49" s="639">
        <f t="shared" ref="N49:BI49" si="175">N42*$K$8</f>
        <v>50492.618750000001</v>
      </c>
      <c r="O49" s="639">
        <f t="shared" si="175"/>
        <v>50492.618750000001</v>
      </c>
      <c r="P49" s="639">
        <f t="shared" si="175"/>
        <v>50492.618750000001</v>
      </c>
      <c r="Q49" s="639">
        <f t="shared" si="175"/>
        <v>50492.618750000001</v>
      </c>
      <c r="R49" s="639">
        <f t="shared" si="175"/>
        <v>50492.618750000001</v>
      </c>
      <c r="S49" s="639">
        <f t="shared" si="175"/>
        <v>50492.618750000001</v>
      </c>
      <c r="T49" s="639">
        <f t="shared" si="175"/>
        <v>50492.618750000001</v>
      </c>
      <c r="U49" s="639">
        <f t="shared" si="175"/>
        <v>50492.618750000001</v>
      </c>
      <c r="V49" s="639">
        <f t="shared" si="175"/>
        <v>50492.618750000001</v>
      </c>
      <c r="W49" s="639">
        <f t="shared" si="175"/>
        <v>50492.618750000001</v>
      </c>
      <c r="X49" s="639">
        <f t="shared" si="175"/>
        <v>50492.618750000001</v>
      </c>
      <c r="Y49" s="639">
        <f t="shared" si="175"/>
        <v>50492.618750000001</v>
      </c>
      <c r="Z49" s="639">
        <f t="shared" si="175"/>
        <v>100985.2375</v>
      </c>
      <c r="AA49" s="639">
        <f t="shared" si="175"/>
        <v>100985.2375</v>
      </c>
      <c r="AB49" s="639">
        <f t="shared" si="175"/>
        <v>100985.2375</v>
      </c>
      <c r="AC49" s="639">
        <f t="shared" si="175"/>
        <v>100985.2375</v>
      </c>
      <c r="AD49" s="639">
        <f t="shared" si="175"/>
        <v>100985.2375</v>
      </c>
      <c r="AE49" s="639">
        <f t="shared" si="175"/>
        <v>100985.2375</v>
      </c>
      <c r="AF49" s="639">
        <f t="shared" si="175"/>
        <v>100985.2375</v>
      </c>
      <c r="AG49" s="639">
        <f t="shared" si="175"/>
        <v>100985.2375</v>
      </c>
      <c r="AH49" s="639">
        <f t="shared" si="175"/>
        <v>100985.2375</v>
      </c>
      <c r="AI49" s="639">
        <f t="shared" si="175"/>
        <v>100985.2375</v>
      </c>
      <c r="AJ49" s="639">
        <f t="shared" si="175"/>
        <v>100985.2375</v>
      </c>
      <c r="AK49" s="639">
        <f t="shared" si="175"/>
        <v>100985.2375</v>
      </c>
      <c r="AL49" s="639">
        <f t="shared" si="175"/>
        <v>151477.85625000001</v>
      </c>
      <c r="AM49" s="639">
        <f t="shared" si="175"/>
        <v>151477.85625000001</v>
      </c>
      <c r="AN49" s="639">
        <f t="shared" si="175"/>
        <v>151477.85625000001</v>
      </c>
      <c r="AO49" s="639">
        <f t="shared" si="175"/>
        <v>151477.85625000001</v>
      </c>
      <c r="AP49" s="639">
        <f t="shared" si="175"/>
        <v>151477.85625000001</v>
      </c>
      <c r="AQ49" s="639">
        <f t="shared" si="175"/>
        <v>151477.85625000001</v>
      </c>
      <c r="AR49" s="639">
        <f t="shared" si="175"/>
        <v>151477.85625000001</v>
      </c>
      <c r="AS49" s="639">
        <f t="shared" si="175"/>
        <v>151477.85625000001</v>
      </c>
      <c r="AT49" s="639">
        <f t="shared" si="175"/>
        <v>151477.85625000001</v>
      </c>
      <c r="AU49" s="639">
        <f t="shared" si="175"/>
        <v>151477.85625000001</v>
      </c>
      <c r="AV49" s="639">
        <f t="shared" si="175"/>
        <v>151477.85625000001</v>
      </c>
      <c r="AW49" s="639">
        <f t="shared" si="175"/>
        <v>151477.85625000001</v>
      </c>
      <c r="AX49" s="639">
        <f t="shared" si="175"/>
        <v>181773.42749999999</v>
      </c>
      <c r="AY49" s="639">
        <f t="shared" si="175"/>
        <v>181773.42749999999</v>
      </c>
      <c r="AZ49" s="639">
        <f t="shared" si="175"/>
        <v>181773.42749999999</v>
      </c>
      <c r="BA49" s="639">
        <f t="shared" si="175"/>
        <v>181773.42749999999</v>
      </c>
      <c r="BB49" s="639">
        <f t="shared" si="175"/>
        <v>181773.42749999999</v>
      </c>
      <c r="BC49" s="639">
        <f t="shared" si="175"/>
        <v>181773.42749999999</v>
      </c>
      <c r="BD49" s="639">
        <f t="shared" si="175"/>
        <v>181773.42749999999</v>
      </c>
      <c r="BE49" s="639">
        <f t="shared" si="175"/>
        <v>181773.42749999999</v>
      </c>
      <c r="BF49" s="639">
        <f t="shared" si="175"/>
        <v>181773.42749999999</v>
      </c>
      <c r="BG49" s="639">
        <f t="shared" si="175"/>
        <v>181773.42749999999</v>
      </c>
      <c r="BH49" s="639">
        <f t="shared" si="175"/>
        <v>181773.42749999999</v>
      </c>
      <c r="BI49" s="639">
        <f t="shared" si="175"/>
        <v>181773.42749999999</v>
      </c>
    </row>
    <row r="50" spans="1:61" outlineLevel="1" x14ac:dyDescent="0.25">
      <c r="A50" s="150" t="s">
        <v>332</v>
      </c>
      <c r="B50" s="640">
        <f>SUM(B46:B49)</f>
        <v>0</v>
      </c>
      <c r="C50" s="640">
        <f t="shared" ref="C50" si="176">SUM(C46:C49)</f>
        <v>0</v>
      </c>
      <c r="D50" s="640">
        <f t="shared" ref="D50" si="177">SUM(D46:D49)</f>
        <v>0</v>
      </c>
      <c r="E50" s="640">
        <f t="shared" ref="E50" si="178">SUM(E46:E49)</f>
        <v>0</v>
      </c>
      <c r="F50" s="640">
        <f t="shared" ref="F50" si="179">SUM(F46:F49)</f>
        <v>0</v>
      </c>
      <c r="G50" s="640">
        <f t="shared" ref="G50" si="180">SUM(G46:G49)</f>
        <v>0</v>
      </c>
      <c r="H50" s="640">
        <f t="shared" ref="H50" si="181">SUM(H46:H49)</f>
        <v>61166.666666666664</v>
      </c>
      <c r="I50" s="640">
        <f t="shared" ref="I50" si="182">SUM(I46:I49)</f>
        <v>79516.666666666672</v>
      </c>
      <c r="J50" s="640">
        <f t="shared" ref="J50" si="183">SUM(J46:J49)</f>
        <v>103371.66666666667</v>
      </c>
      <c r="K50" s="640">
        <f t="shared" ref="K50" si="184">SUM(K46:K49)</f>
        <v>134383.16666666669</v>
      </c>
      <c r="L50" s="640">
        <f t="shared" ref="L50" si="185">SUM(L46:L49)</f>
        <v>174698.1166666667</v>
      </c>
      <c r="M50" s="640">
        <f t="shared" ref="M50:BI50" si="186">SUM(M46:M49)</f>
        <v>227107.5516666667</v>
      </c>
      <c r="N50" s="640">
        <f t="shared" si="186"/>
        <v>1235386.0720833333</v>
      </c>
      <c r="O50" s="640">
        <f t="shared" si="186"/>
        <v>1235386.0720833333</v>
      </c>
      <c r="P50" s="640">
        <f t="shared" si="186"/>
        <v>1235386.0720833333</v>
      </c>
      <c r="Q50" s="640">
        <f t="shared" si="186"/>
        <v>1235386.0720833333</v>
      </c>
      <c r="R50" s="640">
        <f t="shared" si="186"/>
        <v>1235386.0720833333</v>
      </c>
      <c r="S50" s="640">
        <f t="shared" si="186"/>
        <v>1235386.0720833333</v>
      </c>
      <c r="T50" s="640">
        <f t="shared" si="186"/>
        <v>1235386.0720833333</v>
      </c>
      <c r="U50" s="640">
        <f t="shared" si="186"/>
        <v>1235386.0720833333</v>
      </c>
      <c r="V50" s="640">
        <f t="shared" si="186"/>
        <v>1235386.0720833333</v>
      </c>
      <c r="W50" s="640">
        <f t="shared" si="186"/>
        <v>1235386.0720833333</v>
      </c>
      <c r="X50" s="640">
        <f t="shared" si="186"/>
        <v>1235386.0720833333</v>
      </c>
      <c r="Y50" s="640">
        <f t="shared" si="186"/>
        <v>1235386.0720833333</v>
      </c>
      <c r="Z50" s="640">
        <f t="shared" si="186"/>
        <v>2470772.1441666665</v>
      </c>
      <c r="AA50" s="640">
        <f t="shared" si="186"/>
        <v>2470772.1441666665</v>
      </c>
      <c r="AB50" s="640">
        <f t="shared" si="186"/>
        <v>2470772.1441666665</v>
      </c>
      <c r="AC50" s="640">
        <f t="shared" si="186"/>
        <v>2470772.1441666665</v>
      </c>
      <c r="AD50" s="640">
        <f t="shared" si="186"/>
        <v>2470772.1441666665</v>
      </c>
      <c r="AE50" s="640">
        <f t="shared" si="186"/>
        <v>2470772.1441666665</v>
      </c>
      <c r="AF50" s="640">
        <f t="shared" si="186"/>
        <v>2470772.1441666665</v>
      </c>
      <c r="AG50" s="640">
        <f t="shared" si="186"/>
        <v>2470772.1441666665</v>
      </c>
      <c r="AH50" s="640">
        <f t="shared" si="186"/>
        <v>2470772.1441666665</v>
      </c>
      <c r="AI50" s="640">
        <f t="shared" si="186"/>
        <v>2470772.1441666665</v>
      </c>
      <c r="AJ50" s="640">
        <f t="shared" si="186"/>
        <v>2470772.1441666665</v>
      </c>
      <c r="AK50" s="640">
        <f t="shared" si="186"/>
        <v>2470772.1441666665</v>
      </c>
      <c r="AL50" s="640">
        <f t="shared" si="186"/>
        <v>3706158.2162500005</v>
      </c>
      <c r="AM50" s="640">
        <f t="shared" si="186"/>
        <v>3706158.2162500005</v>
      </c>
      <c r="AN50" s="640">
        <f t="shared" si="186"/>
        <v>3706158.2162500005</v>
      </c>
      <c r="AO50" s="640">
        <f t="shared" si="186"/>
        <v>3706158.2162500005</v>
      </c>
      <c r="AP50" s="640">
        <f t="shared" si="186"/>
        <v>3706158.2162500005</v>
      </c>
      <c r="AQ50" s="640">
        <f t="shared" si="186"/>
        <v>3706158.2162500005</v>
      </c>
      <c r="AR50" s="640">
        <f t="shared" si="186"/>
        <v>3706158.2162500005</v>
      </c>
      <c r="AS50" s="640">
        <f t="shared" si="186"/>
        <v>3706158.2162500005</v>
      </c>
      <c r="AT50" s="640">
        <f t="shared" si="186"/>
        <v>3706158.2162500005</v>
      </c>
      <c r="AU50" s="640">
        <f t="shared" si="186"/>
        <v>3706158.2162500005</v>
      </c>
      <c r="AV50" s="640">
        <f t="shared" si="186"/>
        <v>3706158.2162500005</v>
      </c>
      <c r="AW50" s="640">
        <f t="shared" si="186"/>
        <v>3706158.2162500005</v>
      </c>
      <c r="AX50" s="640">
        <f t="shared" si="186"/>
        <v>4447389.8595000003</v>
      </c>
      <c r="AY50" s="640">
        <f t="shared" si="186"/>
        <v>4447389.8595000003</v>
      </c>
      <c r="AZ50" s="640">
        <f t="shared" si="186"/>
        <v>4447389.8595000003</v>
      </c>
      <c r="BA50" s="640">
        <f t="shared" si="186"/>
        <v>4447389.8595000003</v>
      </c>
      <c r="BB50" s="640">
        <f t="shared" si="186"/>
        <v>4447389.8595000003</v>
      </c>
      <c r="BC50" s="640">
        <f t="shared" si="186"/>
        <v>4447389.8595000003</v>
      </c>
      <c r="BD50" s="640">
        <f t="shared" si="186"/>
        <v>4447389.8595000003</v>
      </c>
      <c r="BE50" s="640">
        <f t="shared" si="186"/>
        <v>4447389.8595000003</v>
      </c>
      <c r="BF50" s="640">
        <f t="shared" si="186"/>
        <v>4447389.8595000003</v>
      </c>
      <c r="BG50" s="640">
        <f t="shared" si="186"/>
        <v>4447389.8595000003</v>
      </c>
      <c r="BH50" s="640">
        <f t="shared" si="186"/>
        <v>4447389.8595000003</v>
      </c>
      <c r="BI50" s="640">
        <f t="shared" si="186"/>
        <v>4447389.8595000003</v>
      </c>
    </row>
    <row r="51" spans="1:61" s="150" customFormat="1" x14ac:dyDescent="0.25">
      <c r="A51" s="150" t="s">
        <v>333</v>
      </c>
      <c r="B51" s="641">
        <f>B50</f>
        <v>0</v>
      </c>
      <c r="C51" s="641">
        <f>B51+C50</f>
        <v>0</v>
      </c>
      <c r="D51" s="641">
        <f t="shared" ref="D51:M51" si="187">C51+D50</f>
        <v>0</v>
      </c>
      <c r="E51" s="641">
        <f t="shared" si="187"/>
        <v>0</v>
      </c>
      <c r="F51" s="641">
        <f t="shared" si="187"/>
        <v>0</v>
      </c>
      <c r="G51" s="641">
        <f t="shared" si="187"/>
        <v>0</v>
      </c>
      <c r="H51" s="641">
        <f t="shared" si="187"/>
        <v>61166.666666666664</v>
      </c>
      <c r="I51" s="641">
        <f t="shared" si="187"/>
        <v>140683.33333333334</v>
      </c>
      <c r="J51" s="641">
        <f t="shared" si="187"/>
        <v>244055</v>
      </c>
      <c r="K51" s="641">
        <f t="shared" si="187"/>
        <v>378438.16666666669</v>
      </c>
      <c r="L51" s="641">
        <f t="shared" si="187"/>
        <v>553136.28333333344</v>
      </c>
      <c r="M51" s="641">
        <f t="shared" si="187"/>
        <v>780243.8350000002</v>
      </c>
      <c r="N51" s="641">
        <f t="shared" ref="N51" si="188">M51+N50</f>
        <v>2015629.9070833335</v>
      </c>
      <c r="O51" s="641">
        <f t="shared" ref="O51" si="189">N51+O50</f>
        <v>3251015.979166667</v>
      </c>
      <c r="P51" s="641">
        <f t="shared" ref="P51" si="190">O51+P50</f>
        <v>4486402.0512500005</v>
      </c>
      <c r="Q51" s="641">
        <f t="shared" ref="Q51" si="191">P51+Q50</f>
        <v>5721788.123333334</v>
      </c>
      <c r="R51" s="641">
        <f t="shared" ref="R51" si="192">Q51+R50</f>
        <v>6957174.1954166675</v>
      </c>
      <c r="S51" s="641">
        <f t="shared" ref="S51" si="193">R51+S50</f>
        <v>8192560.267500001</v>
      </c>
      <c r="T51" s="641">
        <f t="shared" ref="T51" si="194">S51+T50</f>
        <v>9427946.3395833336</v>
      </c>
      <c r="U51" s="641">
        <f t="shared" ref="U51" si="195">T51+U50</f>
        <v>10663332.411666667</v>
      </c>
      <c r="V51" s="641">
        <f t="shared" ref="V51" si="196">U51+V50</f>
        <v>11898718.483750001</v>
      </c>
      <c r="W51" s="641">
        <f t="shared" ref="W51" si="197">V51+W50</f>
        <v>13134104.555833334</v>
      </c>
      <c r="X51" s="641">
        <f t="shared" ref="X51" si="198">W51+X50</f>
        <v>14369490.627916668</v>
      </c>
      <c r="Y51" s="641">
        <f t="shared" ref="Y51" si="199">X51+Y50</f>
        <v>15604876.700000001</v>
      </c>
      <c r="Z51" s="641">
        <f t="shared" ref="Z51" si="200">Y51+Z50</f>
        <v>18075648.844166666</v>
      </c>
      <c r="AA51" s="641">
        <f t="shared" ref="AA51" si="201">Z51+AA50</f>
        <v>20546420.988333333</v>
      </c>
      <c r="AB51" s="641">
        <f t="shared" ref="AB51" si="202">AA51+AB50</f>
        <v>23017193.1325</v>
      </c>
      <c r="AC51" s="641">
        <f t="shared" ref="AC51" si="203">AB51+AC50</f>
        <v>25487965.276666667</v>
      </c>
      <c r="AD51" s="641">
        <f t="shared" ref="AD51" si="204">AC51+AD50</f>
        <v>27958737.420833334</v>
      </c>
      <c r="AE51" s="641">
        <f t="shared" ref="AE51" si="205">AD51+AE50</f>
        <v>30429509.565000001</v>
      </c>
      <c r="AF51" s="641">
        <f t="shared" ref="AF51" si="206">AE51+AF50</f>
        <v>32900281.709166668</v>
      </c>
      <c r="AG51" s="641">
        <f t="shared" ref="AG51" si="207">AF51+AG50</f>
        <v>35371053.853333332</v>
      </c>
      <c r="AH51" s="641">
        <f t="shared" ref="AH51" si="208">AG51+AH50</f>
        <v>37841825.997499995</v>
      </c>
      <c r="AI51" s="641">
        <f t="shared" ref="AI51" si="209">AH51+AI50</f>
        <v>40312598.141666658</v>
      </c>
      <c r="AJ51" s="641">
        <f t="shared" ref="AJ51" si="210">AI51+AJ50</f>
        <v>42783370.285833322</v>
      </c>
      <c r="AK51" s="641">
        <f t="shared" ref="AK51" si="211">AJ51+AK50</f>
        <v>45254142.429999985</v>
      </c>
      <c r="AL51" s="641">
        <f t="shared" ref="AL51" si="212">AK51+AL50</f>
        <v>48960300.646249987</v>
      </c>
      <c r="AM51" s="641">
        <f t="shared" ref="AM51" si="213">AL51+AM50</f>
        <v>52666458.86249999</v>
      </c>
      <c r="AN51" s="641">
        <f t="shared" ref="AN51" si="214">AM51+AN50</f>
        <v>56372617.078749992</v>
      </c>
      <c r="AO51" s="641">
        <f t="shared" ref="AO51" si="215">AN51+AO50</f>
        <v>60078775.294999994</v>
      </c>
      <c r="AP51" s="641">
        <f t="shared" ref="AP51" si="216">AO51+AP50</f>
        <v>63784933.511249997</v>
      </c>
      <c r="AQ51" s="641">
        <f t="shared" ref="AQ51" si="217">AP51+AQ50</f>
        <v>67491091.727499992</v>
      </c>
      <c r="AR51" s="641">
        <f t="shared" ref="AR51" si="218">AQ51+AR50</f>
        <v>71197249.943749994</v>
      </c>
      <c r="AS51" s="641">
        <f t="shared" ref="AS51" si="219">AR51+AS50</f>
        <v>74903408.159999996</v>
      </c>
      <c r="AT51" s="641">
        <f t="shared" ref="AT51" si="220">AS51+AT50</f>
        <v>78609566.376249999</v>
      </c>
      <c r="AU51" s="641">
        <f t="shared" ref="AU51" si="221">AT51+AU50</f>
        <v>82315724.592500001</v>
      </c>
      <c r="AV51" s="641">
        <f t="shared" ref="AV51" si="222">AU51+AV50</f>
        <v>86021882.808750004</v>
      </c>
      <c r="AW51" s="641">
        <f t="shared" ref="AW51" si="223">AV51+AW50</f>
        <v>89728041.025000006</v>
      </c>
      <c r="AX51" s="641">
        <f t="shared" ref="AX51" si="224">AW51+AX50</f>
        <v>94175430.884500012</v>
      </c>
      <c r="AY51" s="641">
        <f t="shared" ref="AY51" si="225">AX51+AY50</f>
        <v>98622820.744000018</v>
      </c>
      <c r="AZ51" s="641">
        <f t="shared" ref="AZ51" si="226">AY51+AZ50</f>
        <v>103070210.60350002</v>
      </c>
      <c r="BA51" s="641">
        <f t="shared" ref="BA51" si="227">AZ51+BA50</f>
        <v>107517600.46300003</v>
      </c>
      <c r="BB51" s="641">
        <f t="shared" ref="BB51" si="228">BA51+BB50</f>
        <v>111964990.32250004</v>
      </c>
      <c r="BC51" s="641">
        <f t="shared" ref="BC51" si="229">BB51+BC50</f>
        <v>116412380.18200004</v>
      </c>
      <c r="BD51" s="641">
        <f t="shared" ref="BD51" si="230">BC51+BD50</f>
        <v>120859770.04150005</v>
      </c>
      <c r="BE51" s="641">
        <f t="shared" ref="BE51" si="231">BD51+BE50</f>
        <v>125307159.90100005</v>
      </c>
      <c r="BF51" s="641">
        <f t="shared" ref="BF51" si="232">BE51+BF50</f>
        <v>129754549.76050006</v>
      </c>
      <c r="BG51" s="641">
        <f t="shared" ref="BG51" si="233">BF51+BG50</f>
        <v>134201939.62000006</v>
      </c>
      <c r="BH51" s="641">
        <f t="shared" ref="BH51" si="234">BG51+BH50</f>
        <v>138649329.47950006</v>
      </c>
      <c r="BI51" s="641">
        <f t="shared" ref="BI51" si="235">BH51+BI50</f>
        <v>143096719.33900005</v>
      </c>
    </row>
    <row r="53" spans="1:61" s="154" customFormat="1" ht="20" customHeight="1" x14ac:dyDescent="0.25">
      <c r="A53" s="9" t="s">
        <v>341</v>
      </c>
      <c r="B53" s="62">
        <v>43831</v>
      </c>
      <c r="C53" s="62">
        <v>43862</v>
      </c>
      <c r="D53" s="62">
        <v>43891</v>
      </c>
      <c r="E53" s="62">
        <v>43922</v>
      </c>
      <c r="F53" s="62">
        <v>43952</v>
      </c>
      <c r="G53" s="62">
        <v>43983</v>
      </c>
      <c r="H53" s="62">
        <v>44013</v>
      </c>
      <c r="I53" s="62">
        <v>44044</v>
      </c>
      <c r="J53" s="62">
        <v>44075</v>
      </c>
      <c r="K53" s="62">
        <v>44105</v>
      </c>
      <c r="L53" s="62">
        <v>44136</v>
      </c>
      <c r="M53" s="62">
        <v>44166</v>
      </c>
      <c r="N53" s="62">
        <v>44197</v>
      </c>
      <c r="O53" s="62">
        <v>44228</v>
      </c>
      <c r="P53" s="62">
        <v>44256</v>
      </c>
      <c r="Q53" s="62">
        <v>44287</v>
      </c>
      <c r="R53" s="62">
        <v>44317</v>
      </c>
      <c r="S53" s="62">
        <v>44348</v>
      </c>
      <c r="T53" s="62">
        <v>44378</v>
      </c>
      <c r="U53" s="62">
        <v>44409</v>
      </c>
      <c r="V53" s="62">
        <v>44440</v>
      </c>
      <c r="W53" s="62">
        <v>44470</v>
      </c>
      <c r="X53" s="62">
        <v>44501</v>
      </c>
      <c r="Y53" s="62">
        <v>44531</v>
      </c>
      <c r="Z53" s="62">
        <v>44562</v>
      </c>
      <c r="AA53" s="62">
        <v>44593</v>
      </c>
      <c r="AB53" s="62">
        <v>44621</v>
      </c>
      <c r="AC53" s="62">
        <v>44652</v>
      </c>
      <c r="AD53" s="62">
        <v>44682</v>
      </c>
      <c r="AE53" s="62">
        <v>44713</v>
      </c>
      <c r="AF53" s="62">
        <v>44743</v>
      </c>
      <c r="AG53" s="62">
        <v>44774</v>
      </c>
      <c r="AH53" s="62">
        <v>44805</v>
      </c>
      <c r="AI53" s="62">
        <v>44835</v>
      </c>
      <c r="AJ53" s="62">
        <v>44866</v>
      </c>
      <c r="AK53" s="62">
        <v>44896</v>
      </c>
      <c r="AL53" s="62">
        <v>44927</v>
      </c>
      <c r="AM53" s="62">
        <v>44958</v>
      </c>
      <c r="AN53" s="62">
        <v>44986</v>
      </c>
      <c r="AO53" s="62">
        <v>45017</v>
      </c>
      <c r="AP53" s="62">
        <v>45047</v>
      </c>
      <c r="AQ53" s="62">
        <v>45078</v>
      </c>
      <c r="AR53" s="62">
        <v>45108</v>
      </c>
      <c r="AS53" s="62">
        <v>45139</v>
      </c>
      <c r="AT53" s="62">
        <v>45170</v>
      </c>
      <c r="AU53" s="62">
        <v>45200</v>
      </c>
      <c r="AV53" s="62">
        <v>45231</v>
      </c>
      <c r="AW53" s="62">
        <v>45261</v>
      </c>
      <c r="AX53" s="62">
        <v>45292</v>
      </c>
      <c r="AY53" s="62">
        <v>45323</v>
      </c>
      <c r="AZ53" s="62">
        <v>45352</v>
      </c>
      <c r="BA53" s="62">
        <v>45383</v>
      </c>
      <c r="BB53" s="62">
        <v>45413</v>
      </c>
      <c r="BC53" s="62">
        <v>45444</v>
      </c>
      <c r="BD53" s="62">
        <v>45474</v>
      </c>
      <c r="BE53" s="62">
        <v>45505</v>
      </c>
      <c r="BF53" s="62">
        <v>45536</v>
      </c>
      <c r="BG53" s="62">
        <v>45566</v>
      </c>
      <c r="BH53" s="62">
        <v>45597</v>
      </c>
      <c r="BI53" s="62">
        <v>45627</v>
      </c>
    </row>
    <row r="54" spans="1:61" outlineLevel="1" x14ac:dyDescent="0.25">
      <c r="A54" s="1" t="s">
        <v>336</v>
      </c>
      <c r="B54" s="639">
        <f>B51+B29</f>
        <v>195</v>
      </c>
      <c r="C54" s="639">
        <f t="shared" ref="C54:M54" si="236">C51+C29</f>
        <v>448.5</v>
      </c>
      <c r="D54" s="639">
        <f t="shared" si="236"/>
        <v>740.02499999999998</v>
      </c>
      <c r="E54" s="639">
        <f t="shared" si="236"/>
        <v>1075.2787499999999</v>
      </c>
      <c r="F54" s="639">
        <f t="shared" si="236"/>
        <v>1460.8205625000003</v>
      </c>
      <c r="G54" s="639">
        <f t="shared" si="236"/>
        <v>1904.1936468750002</v>
      </c>
      <c r="H54" s="639">
        <f>H51+H29</f>
        <v>63580.739360572916</v>
      </c>
      <c r="I54" s="639">
        <f t="shared" si="236"/>
        <v>144132.26693132552</v>
      </c>
      <c r="J54" s="639">
        <f t="shared" si="236"/>
        <v>248918.27363769102</v>
      </c>
      <c r="K54" s="639">
        <f t="shared" si="236"/>
        <v>385376.43135001138</v>
      </c>
      <c r="L54" s="639">
        <f t="shared" si="236"/>
        <v>562909.28771917976</v>
      </c>
      <c r="M54" s="639">
        <f t="shared" si="236"/>
        <v>793725.29004372354</v>
      </c>
      <c r="N54" s="639">
        <f t="shared" ref="N54:BI54" si="237">N51+N29</f>
        <v>2033376.0803836153</v>
      </c>
      <c r="O54" s="639">
        <f t="shared" si="237"/>
        <v>3273666.5784619912</v>
      </c>
      <c r="P54" s="639">
        <f t="shared" si="237"/>
        <v>4514692.7404396236</v>
      </c>
      <c r="Q54" s="639">
        <f t="shared" si="237"/>
        <v>5756564.9159014001</v>
      </c>
      <c r="R54" s="639">
        <f t="shared" si="237"/>
        <v>6999410.0068699438</v>
      </c>
      <c r="S54" s="639">
        <f t="shared" si="237"/>
        <v>8243373.9506712686</v>
      </c>
      <c r="T54" s="639">
        <f t="shared" si="237"/>
        <v>9488624.5752302911</v>
      </c>
      <c r="U54" s="639">
        <f t="shared" si="237"/>
        <v>10735354.882660668</v>
      </c>
      <c r="V54" s="639">
        <f t="shared" si="237"/>
        <v>11983786.825393101</v>
      </c>
      <c r="W54" s="639">
        <f t="shared" si="237"/>
        <v>13234399.8987229</v>
      </c>
      <c r="X54" s="639">
        <f t="shared" si="237"/>
        <v>14487297.022239668</v>
      </c>
      <c r="Y54" s="639">
        <f t="shared" si="237"/>
        <v>15742820.803471453</v>
      </c>
      <c r="Z54" s="639">
        <f t="shared" si="237"/>
        <v>18236751.313158836</v>
      </c>
      <c r="AA54" s="639">
        <f t="shared" si="237"/>
        <v>20734155.577674329</v>
      </c>
      <c r="AB54" s="639">
        <f t="shared" si="237"/>
        <v>23235554.660242144</v>
      </c>
      <c r="AC54" s="639">
        <f t="shared" si="237"/>
        <v>25741547.783570133</v>
      </c>
      <c r="AD54" s="639">
        <f t="shared" si="237"/>
        <v>28252824.053772319</v>
      </c>
      <c r="AE54" s="639">
        <f t="shared" si="237"/>
        <v>30770175.942879833</v>
      </c>
      <c r="AF54" s="639">
        <f t="shared" si="237"/>
        <v>33294514.793728478</v>
      </c>
      <c r="AG54" s="639">
        <f t="shared" si="237"/>
        <v>35826888.650579415</v>
      </c>
      <c r="AH54" s="639">
        <f t="shared" si="237"/>
        <v>38368502.764332987</v>
      </c>
      <c r="AI54" s="639">
        <f t="shared" si="237"/>
        <v>40920743.173524596</v>
      </c>
      <c r="AJ54" s="639">
        <f t="shared" si="237"/>
        <v>43485203.82246995</v>
      </c>
      <c r="AK54" s="639">
        <f t="shared" si="237"/>
        <v>46063717.747132108</v>
      </c>
      <c r="AL54" s="639">
        <f t="shared" si="237"/>
        <v>49893779.010951936</v>
      </c>
      <c r="AM54" s="639">
        <f t="shared" si="237"/>
        <v>53742425.731907226</v>
      </c>
      <c r="AN54" s="639">
        <f t="shared" si="237"/>
        <v>57612445.728568316</v>
      </c>
      <c r="AO54" s="639">
        <f t="shared" si="237"/>
        <v>61507044.992291063</v>
      </c>
      <c r="AP54" s="639">
        <f t="shared" si="237"/>
        <v>65429910.413134731</v>
      </c>
      <c r="AQ54" s="639">
        <f t="shared" si="237"/>
        <v>69385281.914667428</v>
      </c>
      <c r="AR54" s="639">
        <f t="shared" si="237"/>
        <v>73378035.408992559</v>
      </c>
      <c r="AS54" s="639">
        <f t="shared" si="237"/>
        <v>77413778.195028946</v>
      </c>
      <c r="AT54" s="639">
        <f t="shared" si="237"/>
        <v>81498958.666533276</v>
      </c>
      <c r="AU54" s="639">
        <f t="shared" si="237"/>
        <v>85640992.47632578</v>
      </c>
      <c r="AV54" s="639">
        <f t="shared" si="237"/>
        <v>89848407.625149652</v>
      </c>
      <c r="AW54" s="639">
        <f t="shared" si="237"/>
        <v>94131011.313859597</v>
      </c>
      <c r="AX54" s="639">
        <f t="shared" si="237"/>
        <v>99241313.466688544</v>
      </c>
      <c r="AY54" s="639">
        <f t="shared" si="237"/>
        <v>104451052.46351683</v>
      </c>
      <c r="AZ54" s="639">
        <f t="shared" si="237"/>
        <v>109775143.83094434</v>
      </c>
      <c r="BA54" s="639">
        <f t="shared" si="237"/>
        <v>115230964.67456101</v>
      </c>
      <c r="BB54" s="639">
        <f t="shared" si="237"/>
        <v>120838050.16579516</v>
      </c>
      <c r="BC54" s="639">
        <f t="shared" si="237"/>
        <v>126619090.00178944</v>
      </c>
      <c r="BD54" s="639">
        <f t="shared" si="237"/>
        <v>132600177.33425784</v>
      </c>
      <c r="BE54" s="639">
        <f t="shared" si="237"/>
        <v>138811319.28767154</v>
      </c>
      <c r="BF54" s="639">
        <f t="shared" si="237"/>
        <v>145287024.05517226</v>
      </c>
      <c r="BG54" s="639">
        <f t="shared" si="237"/>
        <v>152066976.05887309</v>
      </c>
      <c r="BH54" s="639">
        <f t="shared" si="237"/>
        <v>159196812.38420403</v>
      </c>
      <c r="BI54" s="639">
        <f t="shared" si="237"/>
        <v>166729015.67940962</v>
      </c>
    </row>
    <row r="55" spans="1:61" outlineLevel="1" x14ac:dyDescent="0.25">
      <c r="A55" s="1" t="s">
        <v>335</v>
      </c>
      <c r="B55" s="639">
        <f>B54*$B$9</f>
        <v>0.97499999999999998</v>
      </c>
      <c r="C55" s="639">
        <f t="shared" ref="C55:M55" si="238">C54*$B$9</f>
        <v>2.2425000000000002</v>
      </c>
      <c r="D55" s="639">
        <f t="shared" si="238"/>
        <v>3.7001249999999999</v>
      </c>
      <c r="E55" s="639">
        <f t="shared" si="238"/>
        <v>5.3763937500000001</v>
      </c>
      <c r="F55" s="639">
        <f t="shared" si="238"/>
        <v>7.3041028125000018</v>
      </c>
      <c r="G55" s="639">
        <f t="shared" si="238"/>
        <v>9.5209682343750011</v>
      </c>
      <c r="H55" s="639">
        <f t="shared" si="238"/>
        <v>317.9036968028646</v>
      </c>
      <c r="I55" s="639">
        <f t="shared" si="238"/>
        <v>720.66133465662756</v>
      </c>
      <c r="J55" s="639">
        <f t="shared" si="238"/>
        <v>1244.5913681884551</v>
      </c>
      <c r="K55" s="639">
        <f t="shared" si="238"/>
        <v>1926.882156750057</v>
      </c>
      <c r="L55" s="639">
        <f t="shared" si="238"/>
        <v>2814.546438595899</v>
      </c>
      <c r="M55" s="639">
        <f t="shared" si="238"/>
        <v>3968.6264502186177</v>
      </c>
      <c r="N55" s="639">
        <f t="shared" ref="N55:BI55" si="239">N54*$B$9</f>
        <v>10166.880401918077</v>
      </c>
      <c r="O55" s="639">
        <f t="shared" si="239"/>
        <v>16368.332892309956</v>
      </c>
      <c r="P55" s="639">
        <f t="shared" si="239"/>
        <v>22573.463702198118</v>
      </c>
      <c r="Q55" s="639">
        <f t="shared" si="239"/>
        <v>28782.824579507</v>
      </c>
      <c r="R55" s="639">
        <f t="shared" si="239"/>
        <v>34997.050034349719</v>
      </c>
      <c r="S55" s="639">
        <f t="shared" si="239"/>
        <v>41216.869753356346</v>
      </c>
      <c r="T55" s="639">
        <f t="shared" si="239"/>
        <v>47443.122876151458</v>
      </c>
      <c r="U55" s="639">
        <f t="shared" si="239"/>
        <v>53676.774413303341</v>
      </c>
      <c r="V55" s="639">
        <f t="shared" si="239"/>
        <v>59918.934126965505</v>
      </c>
      <c r="W55" s="639">
        <f t="shared" si="239"/>
        <v>66171.999493614509</v>
      </c>
      <c r="X55" s="639">
        <f t="shared" si="239"/>
        <v>72436.485111198344</v>
      </c>
      <c r="Y55" s="639">
        <f t="shared" si="239"/>
        <v>78714.104017357269</v>
      </c>
      <c r="Z55" s="639">
        <f t="shared" si="239"/>
        <v>91183.756565794189</v>
      </c>
      <c r="AA55" s="639">
        <f t="shared" si="239"/>
        <v>103670.77788837165</v>
      </c>
      <c r="AB55" s="639">
        <f t="shared" si="239"/>
        <v>116177.77330121072</v>
      </c>
      <c r="AC55" s="639">
        <f t="shared" si="239"/>
        <v>128707.73891785067</v>
      </c>
      <c r="AD55" s="639">
        <f t="shared" si="239"/>
        <v>141264.12026886159</v>
      </c>
      <c r="AE55" s="639">
        <f t="shared" si="239"/>
        <v>153850.87971439917</v>
      </c>
      <c r="AF55" s="639">
        <f t="shared" si="239"/>
        <v>166472.57396864239</v>
      </c>
      <c r="AG55" s="639">
        <f t="shared" si="239"/>
        <v>179134.44325289709</v>
      </c>
      <c r="AH55" s="639">
        <f t="shared" si="239"/>
        <v>191842.51382166494</v>
      </c>
      <c r="AI55" s="639">
        <f t="shared" si="239"/>
        <v>204603.71586762299</v>
      </c>
      <c r="AJ55" s="639">
        <f t="shared" si="239"/>
        <v>217426.01911234975</v>
      </c>
      <c r="AK55" s="639">
        <f t="shared" si="239"/>
        <v>230318.58873566054</v>
      </c>
      <c r="AL55" s="639">
        <f t="shared" si="239"/>
        <v>249468.89505475969</v>
      </c>
      <c r="AM55" s="639">
        <f t="shared" si="239"/>
        <v>268712.12865953613</v>
      </c>
      <c r="AN55" s="639">
        <f t="shared" si="239"/>
        <v>288062.22864284157</v>
      </c>
      <c r="AO55" s="639">
        <f t="shared" si="239"/>
        <v>307535.22496145533</v>
      </c>
      <c r="AP55" s="639">
        <f t="shared" si="239"/>
        <v>327149.55206567369</v>
      </c>
      <c r="AQ55" s="639">
        <f t="shared" si="239"/>
        <v>346926.40957333712</v>
      </c>
      <c r="AR55" s="639">
        <f t="shared" si="239"/>
        <v>366890.17704496282</v>
      </c>
      <c r="AS55" s="639">
        <f t="shared" si="239"/>
        <v>387068.89097514475</v>
      </c>
      <c r="AT55" s="639">
        <f t="shared" si="239"/>
        <v>407494.79333266639</v>
      </c>
      <c r="AU55" s="639">
        <f t="shared" si="239"/>
        <v>428204.96238162892</v>
      </c>
      <c r="AV55" s="639">
        <f t="shared" si="239"/>
        <v>449242.03812574828</v>
      </c>
      <c r="AW55" s="639">
        <f t="shared" si="239"/>
        <v>470655.05656929797</v>
      </c>
      <c r="AX55" s="639">
        <f t="shared" si="239"/>
        <v>496206.56733344274</v>
      </c>
      <c r="AY55" s="639">
        <f t="shared" si="239"/>
        <v>522255.26231758419</v>
      </c>
      <c r="AZ55" s="639">
        <f t="shared" si="239"/>
        <v>548875.71915472171</v>
      </c>
      <c r="BA55" s="639">
        <f t="shared" si="239"/>
        <v>576154.82337280503</v>
      </c>
      <c r="BB55" s="639">
        <f t="shared" si="239"/>
        <v>604190.25082897581</v>
      </c>
      <c r="BC55" s="639">
        <f t="shared" si="239"/>
        <v>633095.45000894717</v>
      </c>
      <c r="BD55" s="639">
        <f t="shared" si="239"/>
        <v>663000.88667128922</v>
      </c>
      <c r="BE55" s="639">
        <f t="shared" si="239"/>
        <v>694056.59643835772</v>
      </c>
      <c r="BF55" s="639">
        <f t="shared" si="239"/>
        <v>726435.12027586135</v>
      </c>
      <c r="BG55" s="639">
        <f t="shared" si="239"/>
        <v>760334.88029436546</v>
      </c>
      <c r="BH55" s="639">
        <f t="shared" si="239"/>
        <v>795984.06192102015</v>
      </c>
      <c r="BI55" s="639">
        <f t="shared" si="239"/>
        <v>833645.07839704817</v>
      </c>
    </row>
    <row r="56" spans="1:61" s="150" customFormat="1" x14ac:dyDescent="0.25">
      <c r="A56" s="150" t="s">
        <v>338</v>
      </c>
      <c r="B56" s="641">
        <f>B55</f>
        <v>0.97499999999999998</v>
      </c>
      <c r="C56" s="641">
        <f>B56+C55</f>
        <v>3.2175000000000002</v>
      </c>
      <c r="D56" s="641">
        <f t="shared" ref="D56:M56" si="240">C56+D55</f>
        <v>6.9176250000000001</v>
      </c>
      <c r="E56" s="641">
        <f t="shared" si="240"/>
        <v>12.294018749999999</v>
      </c>
      <c r="F56" s="641">
        <f t="shared" si="240"/>
        <v>19.598121562500001</v>
      </c>
      <c r="G56" s="641">
        <f t="shared" si="240"/>
        <v>29.119089796875002</v>
      </c>
      <c r="H56" s="641">
        <f t="shared" si="240"/>
        <v>347.02278659973962</v>
      </c>
      <c r="I56" s="641">
        <f t="shared" si="240"/>
        <v>1067.6841212563672</v>
      </c>
      <c r="J56" s="641">
        <f t="shared" si="240"/>
        <v>2312.2754894448226</v>
      </c>
      <c r="K56" s="641">
        <f t="shared" si="240"/>
        <v>4239.1576461948798</v>
      </c>
      <c r="L56" s="641">
        <f t="shared" si="240"/>
        <v>7053.7040847907792</v>
      </c>
      <c r="M56" s="641">
        <f t="shared" si="240"/>
        <v>11022.330535009398</v>
      </c>
      <c r="N56" s="641">
        <f t="shared" ref="N56" si="241">M56+N55</f>
        <v>21189.210936927477</v>
      </c>
      <c r="O56" s="641">
        <f t="shared" ref="O56" si="242">N56+O55</f>
        <v>37557.543829237431</v>
      </c>
      <c r="P56" s="641">
        <f t="shared" ref="P56" si="243">O56+P55</f>
        <v>60131.007531435549</v>
      </c>
      <c r="Q56" s="641">
        <f t="shared" ref="Q56" si="244">P56+Q55</f>
        <v>88913.832110942545</v>
      </c>
      <c r="R56" s="641">
        <f t="shared" ref="R56" si="245">Q56+R55</f>
        <v>123910.88214529227</v>
      </c>
      <c r="S56" s="641">
        <f t="shared" ref="S56" si="246">R56+S55</f>
        <v>165127.75189864862</v>
      </c>
      <c r="T56" s="641">
        <f t="shared" ref="T56" si="247">S56+T55</f>
        <v>212570.87477480009</v>
      </c>
      <c r="U56" s="641">
        <f t="shared" ref="U56" si="248">T56+U55</f>
        <v>266247.64918810345</v>
      </c>
      <c r="V56" s="641">
        <f t="shared" ref="V56" si="249">U56+V55</f>
        <v>326166.58331506897</v>
      </c>
      <c r="W56" s="641">
        <f t="shared" ref="W56" si="250">V56+W55</f>
        <v>392338.58280868351</v>
      </c>
      <c r="X56" s="641">
        <f t="shared" ref="X56" si="251">W56+X55</f>
        <v>464775.06791988184</v>
      </c>
      <c r="Y56" s="641">
        <f t="shared" ref="Y56" si="252">X56+Y55</f>
        <v>543489.17193723912</v>
      </c>
      <c r="Z56" s="641">
        <f t="shared" ref="Z56" si="253">Y56+Z55</f>
        <v>634672.92850303336</v>
      </c>
      <c r="AA56" s="641">
        <f t="shared" ref="AA56" si="254">Z56+AA55</f>
        <v>738343.70639140496</v>
      </c>
      <c r="AB56" s="641">
        <f t="shared" ref="AB56" si="255">AA56+AB55</f>
        <v>854521.47969261569</v>
      </c>
      <c r="AC56" s="641">
        <f t="shared" ref="AC56" si="256">AB56+AC55</f>
        <v>983229.21861046634</v>
      </c>
      <c r="AD56" s="641">
        <f t="shared" ref="AD56" si="257">AC56+AD55</f>
        <v>1124493.338879328</v>
      </c>
      <c r="AE56" s="641">
        <f t="shared" ref="AE56" si="258">AD56+AE55</f>
        <v>1278344.2185937271</v>
      </c>
      <c r="AF56" s="641">
        <f t="shared" ref="AF56" si="259">AE56+AF55</f>
        <v>1444816.7925623695</v>
      </c>
      <c r="AG56" s="641">
        <f t="shared" ref="AG56" si="260">AF56+AG55</f>
        <v>1623951.2358152666</v>
      </c>
      <c r="AH56" s="641">
        <f t="shared" ref="AH56" si="261">AG56+AH55</f>
        <v>1815793.7496369316</v>
      </c>
      <c r="AI56" s="641">
        <f t="shared" ref="AI56" si="262">AH56+AI55</f>
        <v>2020397.4655045546</v>
      </c>
      <c r="AJ56" s="641">
        <f t="shared" ref="AJ56" si="263">AI56+AJ55</f>
        <v>2237823.4846169045</v>
      </c>
      <c r="AK56" s="641">
        <f t="shared" ref="AK56" si="264">AJ56+AK55</f>
        <v>2468142.0733525651</v>
      </c>
      <c r="AL56" s="641">
        <f t="shared" ref="AL56" si="265">AK56+AL55</f>
        <v>2717610.9684073245</v>
      </c>
      <c r="AM56" s="641">
        <f t="shared" ref="AM56" si="266">AL56+AM55</f>
        <v>2986323.0970668606</v>
      </c>
      <c r="AN56" s="641">
        <f t="shared" ref="AN56" si="267">AM56+AN55</f>
        <v>3274385.3257097024</v>
      </c>
      <c r="AO56" s="641">
        <f t="shared" ref="AO56" si="268">AN56+AO55</f>
        <v>3581920.5506711579</v>
      </c>
      <c r="AP56" s="641">
        <f t="shared" ref="AP56" si="269">AO56+AP55</f>
        <v>3909070.1027368316</v>
      </c>
      <c r="AQ56" s="641">
        <f t="shared" ref="AQ56" si="270">AP56+AQ55</f>
        <v>4255996.5123101687</v>
      </c>
      <c r="AR56" s="641">
        <f t="shared" ref="AR56" si="271">AQ56+AR55</f>
        <v>4622886.6893551312</v>
      </c>
      <c r="AS56" s="641">
        <f t="shared" ref="AS56" si="272">AR56+AS55</f>
        <v>5009955.5803302759</v>
      </c>
      <c r="AT56" s="641">
        <f t="shared" ref="AT56" si="273">AS56+AT55</f>
        <v>5417450.3736629421</v>
      </c>
      <c r="AU56" s="641">
        <f t="shared" ref="AU56" si="274">AT56+AU55</f>
        <v>5845655.3360445714</v>
      </c>
      <c r="AV56" s="641">
        <f t="shared" ref="AV56" si="275">AU56+AV55</f>
        <v>6294897.3741703201</v>
      </c>
      <c r="AW56" s="641">
        <f t="shared" ref="AW56" si="276">AV56+AW55</f>
        <v>6765552.4307396179</v>
      </c>
      <c r="AX56" s="641">
        <f t="shared" ref="AX56" si="277">AW56+AX55</f>
        <v>7261758.998073061</v>
      </c>
      <c r="AY56" s="641">
        <f t="shared" ref="AY56" si="278">AX56+AY55</f>
        <v>7784014.2603906449</v>
      </c>
      <c r="AZ56" s="641">
        <f t="shared" ref="AZ56" si="279">AY56+AZ55</f>
        <v>8332889.979545367</v>
      </c>
      <c r="BA56" s="641">
        <f t="shared" ref="BA56" si="280">AZ56+BA55</f>
        <v>8909044.8029181715</v>
      </c>
      <c r="BB56" s="641">
        <f t="shared" ref="BB56" si="281">BA56+BB55</f>
        <v>9513235.0537471473</v>
      </c>
      <c r="BC56" s="641">
        <f t="shared" ref="BC56" si="282">BB56+BC55</f>
        <v>10146330.503756095</v>
      </c>
      <c r="BD56" s="641">
        <f t="shared" ref="BD56" si="283">BC56+BD55</f>
        <v>10809331.390427385</v>
      </c>
      <c r="BE56" s="641">
        <f t="shared" ref="BE56" si="284">BD56+BE55</f>
        <v>11503387.986865742</v>
      </c>
      <c r="BF56" s="641">
        <f t="shared" ref="BF56" si="285">BE56+BF55</f>
        <v>12229823.107141603</v>
      </c>
      <c r="BG56" s="641">
        <f t="shared" ref="BG56" si="286">BF56+BG55</f>
        <v>12990157.987435969</v>
      </c>
      <c r="BH56" s="641">
        <f t="shared" ref="BH56" si="287">BG56+BH55</f>
        <v>13786142.04935699</v>
      </c>
      <c r="BI56" s="641">
        <f t="shared" ref="BI56" si="288">BH56+BI55</f>
        <v>14619787.127754038</v>
      </c>
    </row>
    <row r="58" spans="1:61" s="154" customFormat="1" ht="20" customHeight="1" x14ac:dyDescent="0.25">
      <c r="A58" s="9" t="s">
        <v>339</v>
      </c>
      <c r="B58" s="62">
        <v>43831</v>
      </c>
      <c r="C58" s="62">
        <v>43862</v>
      </c>
      <c r="D58" s="62">
        <v>43891</v>
      </c>
      <c r="E58" s="62">
        <v>43922</v>
      </c>
      <c r="F58" s="62">
        <v>43952</v>
      </c>
      <c r="G58" s="62">
        <v>43983</v>
      </c>
      <c r="H58" s="62">
        <v>44013</v>
      </c>
      <c r="I58" s="62">
        <v>44044</v>
      </c>
      <c r="J58" s="62">
        <v>44075</v>
      </c>
      <c r="K58" s="62">
        <v>44105</v>
      </c>
      <c r="L58" s="62">
        <v>44136</v>
      </c>
      <c r="M58" s="62">
        <v>44166</v>
      </c>
      <c r="N58" s="62">
        <v>44197</v>
      </c>
      <c r="O58" s="62">
        <v>44228</v>
      </c>
      <c r="P58" s="62">
        <v>44256</v>
      </c>
      <c r="Q58" s="62">
        <v>44287</v>
      </c>
      <c r="R58" s="62">
        <v>44317</v>
      </c>
      <c r="S58" s="62">
        <v>44348</v>
      </c>
      <c r="T58" s="62">
        <v>44378</v>
      </c>
      <c r="U58" s="62">
        <v>44409</v>
      </c>
      <c r="V58" s="62">
        <v>44440</v>
      </c>
      <c r="W58" s="62">
        <v>44470</v>
      </c>
      <c r="X58" s="62">
        <v>44501</v>
      </c>
      <c r="Y58" s="62">
        <v>44531</v>
      </c>
      <c r="Z58" s="62">
        <v>44562</v>
      </c>
      <c r="AA58" s="62">
        <v>44593</v>
      </c>
      <c r="AB58" s="62">
        <v>44621</v>
      </c>
      <c r="AC58" s="62">
        <v>44652</v>
      </c>
      <c r="AD58" s="62">
        <v>44682</v>
      </c>
      <c r="AE58" s="62">
        <v>44713</v>
      </c>
      <c r="AF58" s="62">
        <v>44743</v>
      </c>
      <c r="AG58" s="62">
        <v>44774</v>
      </c>
      <c r="AH58" s="62">
        <v>44805</v>
      </c>
      <c r="AI58" s="62">
        <v>44835</v>
      </c>
      <c r="AJ58" s="62">
        <v>44866</v>
      </c>
      <c r="AK58" s="62">
        <v>44896</v>
      </c>
      <c r="AL58" s="62">
        <v>44927</v>
      </c>
      <c r="AM58" s="62">
        <v>44958</v>
      </c>
      <c r="AN58" s="62">
        <v>44986</v>
      </c>
      <c r="AO58" s="62">
        <v>45017</v>
      </c>
      <c r="AP58" s="62">
        <v>45047</v>
      </c>
      <c r="AQ58" s="62">
        <v>45078</v>
      </c>
      <c r="AR58" s="62">
        <v>45108</v>
      </c>
      <c r="AS58" s="62">
        <v>45139</v>
      </c>
      <c r="AT58" s="62">
        <v>45170</v>
      </c>
      <c r="AU58" s="62">
        <v>45200</v>
      </c>
      <c r="AV58" s="62">
        <v>45231</v>
      </c>
      <c r="AW58" s="62">
        <v>45261</v>
      </c>
      <c r="AX58" s="62">
        <v>45292</v>
      </c>
      <c r="AY58" s="62">
        <v>45323</v>
      </c>
      <c r="AZ58" s="62">
        <v>45352</v>
      </c>
      <c r="BA58" s="62">
        <v>45383</v>
      </c>
      <c r="BB58" s="62">
        <v>45413</v>
      </c>
      <c r="BC58" s="62">
        <v>45444</v>
      </c>
      <c r="BD58" s="62">
        <v>45474</v>
      </c>
      <c r="BE58" s="62">
        <v>45505</v>
      </c>
      <c r="BF58" s="62">
        <v>45536</v>
      </c>
      <c r="BG58" s="62">
        <v>45566</v>
      </c>
      <c r="BH58" s="62">
        <v>45597</v>
      </c>
      <c r="BI58" s="62">
        <v>45627</v>
      </c>
    </row>
    <row r="59" spans="1:61" x14ac:dyDescent="0.25">
      <c r="A59" s="1" t="s">
        <v>345</v>
      </c>
      <c r="B59" s="639">
        <f>B56+B51+B29</f>
        <v>195.97499999999999</v>
      </c>
      <c r="C59" s="639">
        <f t="shared" ref="C59:M59" si="289">C56+C51+C29</f>
        <v>451.71749999999997</v>
      </c>
      <c r="D59" s="639">
        <f t="shared" si="289"/>
        <v>746.94262500000002</v>
      </c>
      <c r="E59" s="639">
        <f t="shared" si="289"/>
        <v>1087.57276875</v>
      </c>
      <c r="F59" s="639">
        <f t="shared" si="289"/>
        <v>1480.4186840625002</v>
      </c>
      <c r="G59" s="639">
        <f t="shared" si="289"/>
        <v>1933.3127366718752</v>
      </c>
      <c r="H59" s="639">
        <f t="shared" si="289"/>
        <v>63927.762147172652</v>
      </c>
      <c r="I59" s="639">
        <f t="shared" si="289"/>
        <v>145199.95105258189</v>
      </c>
      <c r="J59" s="639">
        <f t="shared" si="289"/>
        <v>251230.54912713583</v>
      </c>
      <c r="K59" s="639">
        <f t="shared" si="289"/>
        <v>389615.58899620624</v>
      </c>
      <c r="L59" s="639">
        <f t="shared" si="289"/>
        <v>569962.99180397054</v>
      </c>
      <c r="M59" s="639">
        <f t="shared" si="289"/>
        <v>804747.62057873292</v>
      </c>
      <c r="N59" s="639">
        <f t="shared" ref="N59:BH59" si="290">N56+N51+N29</f>
        <v>2054565.2913205428</v>
      </c>
      <c r="O59" s="639">
        <f t="shared" si="290"/>
        <v>3311224.1222912287</v>
      </c>
      <c r="P59" s="639">
        <f t="shared" si="290"/>
        <v>4574823.7479710588</v>
      </c>
      <c r="Q59" s="639">
        <f t="shared" si="290"/>
        <v>5845478.7480123425</v>
      </c>
      <c r="R59" s="639">
        <f t="shared" si="290"/>
        <v>7123320.8890152359</v>
      </c>
      <c r="S59" s="639">
        <f t="shared" si="290"/>
        <v>8408501.7025699168</v>
      </c>
      <c r="T59" s="639">
        <f t="shared" si="290"/>
        <v>9701195.4500050917</v>
      </c>
      <c r="U59" s="639">
        <f t="shared" si="290"/>
        <v>11001602.531848771</v>
      </c>
      <c r="V59" s="639">
        <f t="shared" si="290"/>
        <v>12309953.40870817</v>
      </c>
      <c r="W59" s="639">
        <f t="shared" si="290"/>
        <v>13626738.481531583</v>
      </c>
      <c r="X59" s="639">
        <f t="shared" si="290"/>
        <v>14952072.09015955</v>
      </c>
      <c r="Y59" s="639">
        <f t="shared" si="290"/>
        <v>16286309.975408692</v>
      </c>
      <c r="Z59" s="639">
        <f t="shared" si="290"/>
        <v>18871424.241661869</v>
      </c>
      <c r="AA59" s="639">
        <f t="shared" si="290"/>
        <v>21472499.284065735</v>
      </c>
      <c r="AB59" s="639">
        <f t="shared" si="290"/>
        <v>24090076.13993476</v>
      </c>
      <c r="AC59" s="639">
        <f t="shared" si="290"/>
        <v>26724777.002180599</v>
      </c>
      <c r="AD59" s="639">
        <f t="shared" si="290"/>
        <v>29377317.392651647</v>
      </c>
      <c r="AE59" s="639">
        <f t="shared" si="290"/>
        <v>32048520.161473561</v>
      </c>
      <c r="AF59" s="639">
        <f t="shared" si="290"/>
        <v>34739331.586290851</v>
      </c>
      <c r="AG59" s="639">
        <f t="shared" si="290"/>
        <v>37450839.88639468</v>
      </c>
      <c r="AH59" s="639">
        <f t="shared" si="290"/>
        <v>40184296.513969921</v>
      </c>
      <c r="AI59" s="639">
        <f t="shared" si="290"/>
        <v>42941140.639029153</v>
      </c>
      <c r="AJ59" s="639">
        <f t="shared" si="290"/>
        <v>45723027.307086855</v>
      </c>
      <c r="AK59" s="639">
        <f t="shared" si="290"/>
        <v>48531859.820484683</v>
      </c>
      <c r="AL59" s="639">
        <f t="shared" si="290"/>
        <v>52611389.979359262</v>
      </c>
      <c r="AM59" s="639">
        <f t="shared" si="290"/>
        <v>56728748.828974083</v>
      </c>
      <c r="AN59" s="639">
        <f t="shared" si="290"/>
        <v>60886831.054278016</v>
      </c>
      <c r="AO59" s="639">
        <f t="shared" si="290"/>
        <v>65088965.542962223</v>
      </c>
      <c r="AP59" s="639">
        <f t="shared" si="290"/>
        <v>69338980.51587157</v>
      </c>
      <c r="AQ59" s="639">
        <f t="shared" si="290"/>
        <v>73641278.42697759</v>
      </c>
      <c r="AR59" s="639">
        <f t="shared" si="290"/>
        <v>78000922.098347694</v>
      </c>
      <c r="AS59" s="639">
        <f t="shared" si="290"/>
        <v>82423733.775359228</v>
      </c>
      <c r="AT59" s="639">
        <f t="shared" si="290"/>
        <v>86916409.040196225</v>
      </c>
      <c r="AU59" s="639">
        <f t="shared" si="290"/>
        <v>91486647.812370345</v>
      </c>
      <c r="AV59" s="639">
        <f t="shared" si="290"/>
        <v>96143304.999319971</v>
      </c>
      <c r="AW59" s="639">
        <f t="shared" si="290"/>
        <v>100896563.74459921</v>
      </c>
      <c r="AX59" s="639">
        <f t="shared" si="290"/>
        <v>106503072.4647616</v>
      </c>
      <c r="AY59" s="639">
        <f t="shared" si="290"/>
        <v>112235066.72390747</v>
      </c>
      <c r="AZ59" s="639">
        <f t="shared" si="290"/>
        <v>118108033.81048971</v>
      </c>
      <c r="BA59" s="639">
        <f t="shared" si="290"/>
        <v>124140009.47747917</v>
      </c>
      <c r="BB59" s="639">
        <f t="shared" si="290"/>
        <v>130351285.21954231</v>
      </c>
      <c r="BC59" s="639">
        <f t="shared" si="290"/>
        <v>136765420.50554553</v>
      </c>
      <c r="BD59" s="639">
        <f t="shared" si="290"/>
        <v>143409508.72468522</v>
      </c>
      <c r="BE59" s="639">
        <f t="shared" si="290"/>
        <v>150314707.27453727</v>
      </c>
      <c r="BF59" s="639">
        <f t="shared" si="290"/>
        <v>157516847.16231385</v>
      </c>
      <c r="BG59" s="639">
        <f t="shared" si="290"/>
        <v>165057134.04630905</v>
      </c>
      <c r="BH59" s="639">
        <f t="shared" si="290"/>
        <v>172982954.43356103</v>
      </c>
      <c r="BI59" s="639">
        <f>BI56+BI51+BI29</f>
        <v>181348802.80716366</v>
      </c>
    </row>
    <row r="60" spans="1:61" x14ac:dyDescent="0.25">
      <c r="A60" s="1" t="s">
        <v>340</v>
      </c>
      <c r="B60" s="639">
        <f>B59*$B$8</f>
        <v>0.97987499999999994</v>
      </c>
      <c r="C60" s="639">
        <f t="shared" ref="C60:M60" si="291">C59*$B$8</f>
        <v>2.2585875</v>
      </c>
      <c r="D60" s="639">
        <f t="shared" si="291"/>
        <v>3.7347131250000003</v>
      </c>
      <c r="E60" s="639">
        <f t="shared" si="291"/>
        <v>5.4378638437500006</v>
      </c>
      <c r="F60" s="639">
        <f t="shared" si="291"/>
        <v>7.4020934203125011</v>
      </c>
      <c r="G60" s="639">
        <f t="shared" si="291"/>
        <v>9.6665636833593762</v>
      </c>
      <c r="H60" s="639">
        <f t="shared" si="291"/>
        <v>319.63881073586327</v>
      </c>
      <c r="I60" s="639">
        <f t="shared" si="291"/>
        <v>725.9997552629095</v>
      </c>
      <c r="J60" s="639">
        <f t="shared" si="291"/>
        <v>1256.1527456356791</v>
      </c>
      <c r="K60" s="639">
        <f t="shared" si="291"/>
        <v>1948.0779449810311</v>
      </c>
      <c r="L60" s="639">
        <f t="shared" si="291"/>
        <v>2849.8149590198527</v>
      </c>
      <c r="M60" s="639">
        <f t="shared" si="291"/>
        <v>4023.7381028936647</v>
      </c>
      <c r="N60" s="639">
        <f t="shared" ref="N60:BI60" si="292">N59*$B$8</f>
        <v>10272.826456602714</v>
      </c>
      <c r="O60" s="639">
        <f t="shared" si="292"/>
        <v>16556.120611456143</v>
      </c>
      <c r="P60" s="639">
        <f t="shared" si="292"/>
        <v>22874.118739855294</v>
      </c>
      <c r="Q60" s="639">
        <f t="shared" si="292"/>
        <v>29227.393740061714</v>
      </c>
      <c r="R60" s="639">
        <f t="shared" si="292"/>
        <v>35616.604445076184</v>
      </c>
      <c r="S60" s="639">
        <f t="shared" si="292"/>
        <v>42042.508512849585</v>
      </c>
      <c r="T60" s="639">
        <f t="shared" si="292"/>
        <v>48505.977250025462</v>
      </c>
      <c r="U60" s="639">
        <f t="shared" si="292"/>
        <v>55008.012659243861</v>
      </c>
      <c r="V60" s="639">
        <f t="shared" si="292"/>
        <v>61549.767043540851</v>
      </c>
      <c r="W60" s="639">
        <f t="shared" si="292"/>
        <v>68133.692407657916</v>
      </c>
      <c r="X60" s="639">
        <f t="shared" si="292"/>
        <v>74760.360450797758</v>
      </c>
      <c r="Y60" s="639">
        <f t="shared" si="292"/>
        <v>81431.549877043464</v>
      </c>
      <c r="Z60" s="639">
        <f t="shared" si="292"/>
        <v>94357.121208309341</v>
      </c>
      <c r="AA60" s="639">
        <f t="shared" si="292"/>
        <v>107362.49642032868</v>
      </c>
      <c r="AB60" s="639">
        <f t="shared" si="292"/>
        <v>120450.3806996738</v>
      </c>
      <c r="AC60" s="639">
        <f t="shared" si="292"/>
        <v>133623.885010903</v>
      </c>
      <c r="AD60" s="639">
        <f t="shared" si="292"/>
        <v>146886.58696325825</v>
      </c>
      <c r="AE60" s="639">
        <f t="shared" si="292"/>
        <v>160242.60080736779</v>
      </c>
      <c r="AF60" s="639">
        <f t="shared" si="292"/>
        <v>173696.65793145425</v>
      </c>
      <c r="AG60" s="639">
        <f t="shared" si="292"/>
        <v>187254.19943197339</v>
      </c>
      <c r="AH60" s="639">
        <f t="shared" si="292"/>
        <v>200921.48256984961</v>
      </c>
      <c r="AI60" s="639">
        <f t="shared" si="292"/>
        <v>214705.70319514576</v>
      </c>
      <c r="AJ60" s="639">
        <f t="shared" si="292"/>
        <v>228615.13653543429</v>
      </c>
      <c r="AK60" s="639">
        <f t="shared" si="292"/>
        <v>242659.29910242342</v>
      </c>
      <c r="AL60" s="639">
        <f t="shared" si="292"/>
        <v>263056.94989679632</v>
      </c>
      <c r="AM60" s="639">
        <f t="shared" si="292"/>
        <v>283643.74414487043</v>
      </c>
      <c r="AN60" s="639">
        <f t="shared" si="292"/>
        <v>304434.1552713901</v>
      </c>
      <c r="AO60" s="639">
        <f t="shared" si="292"/>
        <v>325444.82771481114</v>
      </c>
      <c r="AP60" s="639">
        <f t="shared" si="292"/>
        <v>346694.90257935785</v>
      </c>
      <c r="AQ60" s="639">
        <f t="shared" si="292"/>
        <v>368206.39213488798</v>
      </c>
      <c r="AR60" s="639">
        <f t="shared" si="292"/>
        <v>390004.61049173848</v>
      </c>
      <c r="AS60" s="639">
        <f t="shared" si="292"/>
        <v>412118.66887679615</v>
      </c>
      <c r="AT60" s="639">
        <f t="shared" si="292"/>
        <v>434582.04520098114</v>
      </c>
      <c r="AU60" s="639">
        <f t="shared" si="292"/>
        <v>457433.23906185175</v>
      </c>
      <c r="AV60" s="639">
        <f t="shared" si="292"/>
        <v>480716.52499659988</v>
      </c>
      <c r="AW60" s="639">
        <f t="shared" si="292"/>
        <v>504482.81872299605</v>
      </c>
      <c r="AX60" s="639">
        <f t="shared" si="292"/>
        <v>532515.36232380802</v>
      </c>
      <c r="AY60" s="639">
        <f t="shared" si="292"/>
        <v>561175.33361953741</v>
      </c>
      <c r="AZ60" s="639">
        <f t="shared" si="292"/>
        <v>590540.16905244859</v>
      </c>
      <c r="BA60" s="639">
        <f t="shared" si="292"/>
        <v>620700.04738739587</v>
      </c>
      <c r="BB60" s="639">
        <f t="shared" si="292"/>
        <v>651756.42609771155</v>
      </c>
      <c r="BC60" s="639">
        <f t="shared" si="292"/>
        <v>683827.10252772761</v>
      </c>
      <c r="BD60" s="639">
        <f t="shared" si="292"/>
        <v>717047.54362342611</v>
      </c>
      <c r="BE60" s="639">
        <f t="shared" si="292"/>
        <v>751573.53637268639</v>
      </c>
      <c r="BF60" s="639">
        <f t="shared" si="292"/>
        <v>787584.23581156926</v>
      </c>
      <c r="BG60" s="639">
        <f t="shared" si="292"/>
        <v>825285.67023154534</v>
      </c>
      <c r="BH60" s="639">
        <f t="shared" si="292"/>
        <v>864914.77216780512</v>
      </c>
      <c r="BI60" s="639">
        <f t="shared" si="292"/>
        <v>906744.01403581828</v>
      </c>
    </row>
    <row r="61" spans="1:61" s="150" customFormat="1" collapsed="1" x14ac:dyDescent="0.25">
      <c r="A61" s="150" t="s">
        <v>339</v>
      </c>
      <c r="B61" s="641">
        <f>B59-B60</f>
        <v>194.995125</v>
      </c>
      <c r="C61" s="641">
        <f t="shared" ref="C61:M61" si="293">C59-C60</f>
        <v>449.4589125</v>
      </c>
      <c r="D61" s="641">
        <f t="shared" si="293"/>
        <v>743.20791187500004</v>
      </c>
      <c r="E61" s="641">
        <f t="shared" si="293"/>
        <v>1082.1349049062501</v>
      </c>
      <c r="F61" s="641">
        <f t="shared" si="293"/>
        <v>1473.0165906421878</v>
      </c>
      <c r="G61" s="641">
        <f t="shared" si="293"/>
        <v>1923.6461729885159</v>
      </c>
      <c r="H61" s="641">
        <f t="shared" si="293"/>
        <v>63608.123336436787</v>
      </c>
      <c r="I61" s="641">
        <f t="shared" si="293"/>
        <v>144473.95129731897</v>
      </c>
      <c r="J61" s="641">
        <f t="shared" si="293"/>
        <v>249974.39638150015</v>
      </c>
      <c r="K61" s="641">
        <f t="shared" si="293"/>
        <v>387667.51105122518</v>
      </c>
      <c r="L61" s="641">
        <f t="shared" si="293"/>
        <v>567113.17684495065</v>
      </c>
      <c r="M61" s="641">
        <f t="shared" si="293"/>
        <v>800723.88247583923</v>
      </c>
      <c r="N61" s="641">
        <f t="shared" ref="N61:BH61" si="294">N59-N60</f>
        <v>2044292.4648639401</v>
      </c>
      <c r="O61" s="641">
        <f t="shared" si="294"/>
        <v>3294668.0016797725</v>
      </c>
      <c r="P61" s="641">
        <f t="shared" si="294"/>
        <v>4551949.6292312033</v>
      </c>
      <c r="Q61" s="641">
        <f t="shared" si="294"/>
        <v>5816251.3542722808</v>
      </c>
      <c r="R61" s="641">
        <f t="shared" si="294"/>
        <v>7087704.2845701594</v>
      </c>
      <c r="S61" s="641">
        <f t="shared" si="294"/>
        <v>8366459.1940570669</v>
      </c>
      <c r="T61" s="641">
        <f t="shared" si="294"/>
        <v>9652689.4727550671</v>
      </c>
      <c r="U61" s="641">
        <f t="shared" si="294"/>
        <v>10946594.519189527</v>
      </c>
      <c r="V61" s="641">
        <f t="shared" si="294"/>
        <v>12248403.64166463</v>
      </c>
      <c r="W61" s="641">
        <f t="shared" si="294"/>
        <v>13558604.789123924</v>
      </c>
      <c r="X61" s="641">
        <f t="shared" si="294"/>
        <v>14877311.729708752</v>
      </c>
      <c r="Y61" s="641">
        <f t="shared" si="294"/>
        <v>16204878.425531648</v>
      </c>
      <c r="Z61" s="641">
        <f t="shared" si="294"/>
        <v>18777067.120453559</v>
      </c>
      <c r="AA61" s="641">
        <f t="shared" si="294"/>
        <v>21365136.787645407</v>
      </c>
      <c r="AB61" s="641">
        <f t="shared" si="294"/>
        <v>23969625.759235084</v>
      </c>
      <c r="AC61" s="641">
        <f t="shared" si="294"/>
        <v>26591153.117169697</v>
      </c>
      <c r="AD61" s="641">
        <f t="shared" si="294"/>
        <v>29230430.805688389</v>
      </c>
      <c r="AE61" s="641">
        <f t="shared" si="294"/>
        <v>31888277.560666192</v>
      </c>
      <c r="AF61" s="641">
        <f t="shared" si="294"/>
        <v>34565634.928359397</v>
      </c>
      <c r="AG61" s="641">
        <f t="shared" si="294"/>
        <v>37263585.686962709</v>
      </c>
      <c r="AH61" s="641">
        <f t="shared" si="294"/>
        <v>39983375.03140007</v>
      </c>
      <c r="AI61" s="641">
        <f t="shared" si="294"/>
        <v>42726434.935834005</v>
      </c>
      <c r="AJ61" s="641">
        <f t="shared" si="294"/>
        <v>45494412.170551419</v>
      </c>
      <c r="AK61" s="641">
        <f t="shared" si="294"/>
        <v>48289200.521382257</v>
      </c>
      <c r="AL61" s="641">
        <f t="shared" si="294"/>
        <v>52348333.029462464</v>
      </c>
      <c r="AM61" s="641">
        <f t="shared" si="294"/>
        <v>56445105.084829211</v>
      </c>
      <c r="AN61" s="641">
        <f t="shared" si="294"/>
        <v>60582396.899006628</v>
      </c>
      <c r="AO61" s="641">
        <f t="shared" si="294"/>
        <v>64763520.715247415</v>
      </c>
      <c r="AP61" s="641">
        <f t="shared" si="294"/>
        <v>68992285.613292217</v>
      </c>
      <c r="AQ61" s="641">
        <f t="shared" si="294"/>
        <v>73273072.0348427</v>
      </c>
      <c r="AR61" s="641">
        <f t="shared" si="294"/>
        <v>77610917.487855956</v>
      </c>
      <c r="AS61" s="641">
        <f t="shared" si="294"/>
        <v>82011615.106482431</v>
      </c>
      <c r="AT61" s="641">
        <f t="shared" si="294"/>
        <v>86481826.994995251</v>
      </c>
      <c r="AU61" s="641">
        <f t="shared" si="294"/>
        <v>91029214.573308498</v>
      </c>
      <c r="AV61" s="641">
        <f t="shared" si="294"/>
        <v>95662588.474323377</v>
      </c>
      <c r="AW61" s="641">
        <f t="shared" si="294"/>
        <v>100392080.92587622</v>
      </c>
      <c r="AX61" s="641">
        <f t="shared" si="294"/>
        <v>105970557.10243779</v>
      </c>
      <c r="AY61" s="641">
        <f t="shared" si="294"/>
        <v>111673891.39028794</v>
      </c>
      <c r="AZ61" s="641">
        <f t="shared" si="294"/>
        <v>117517493.64143726</v>
      </c>
      <c r="BA61" s="641">
        <f t="shared" si="294"/>
        <v>123519309.43009178</v>
      </c>
      <c r="BB61" s="641">
        <f t="shared" si="294"/>
        <v>129699528.7934446</v>
      </c>
      <c r="BC61" s="641">
        <f t="shared" si="294"/>
        <v>136081593.40301779</v>
      </c>
      <c r="BD61" s="641">
        <f t="shared" si="294"/>
        <v>142692461.1810618</v>
      </c>
      <c r="BE61" s="641">
        <f t="shared" si="294"/>
        <v>149563133.73816457</v>
      </c>
      <c r="BF61" s="641">
        <f t="shared" si="294"/>
        <v>156729262.92650229</v>
      </c>
      <c r="BG61" s="641">
        <f t="shared" si="294"/>
        <v>164231848.3760775</v>
      </c>
      <c r="BH61" s="641">
        <f t="shared" si="294"/>
        <v>172118039.66139323</v>
      </c>
      <c r="BI61" s="641">
        <f>BI59-BI60</f>
        <v>180442058.79312783</v>
      </c>
    </row>
    <row r="62" spans="1:61" s="151" customFormat="1" x14ac:dyDescent="0.25">
      <c r="A62" s="151" t="s">
        <v>346</v>
      </c>
      <c r="B62" s="445">
        <f>B55+B50+B26+B28</f>
        <v>195.97499999999999</v>
      </c>
      <c r="C62" s="445">
        <f t="shared" ref="C62:M62" si="295">C55+C50+C26+C28</f>
        <v>255.74250000000001</v>
      </c>
      <c r="D62" s="445">
        <f t="shared" si="295"/>
        <v>295.22512499999999</v>
      </c>
      <c r="E62" s="445">
        <f t="shared" si="295"/>
        <v>340.63014375</v>
      </c>
      <c r="F62" s="445">
        <f t="shared" si="295"/>
        <v>392.84591531249998</v>
      </c>
      <c r="G62" s="445">
        <f t="shared" si="295"/>
        <v>452.89405260937502</v>
      </c>
      <c r="H62" s="445">
        <f t="shared" si="295"/>
        <v>61994.449410500783</v>
      </c>
      <c r="I62" s="445">
        <f t="shared" si="295"/>
        <v>81272.188905409246</v>
      </c>
      <c r="J62" s="445">
        <f t="shared" si="295"/>
        <v>106030.59807455396</v>
      </c>
      <c r="K62" s="445">
        <f t="shared" si="295"/>
        <v>138385.0398690704</v>
      </c>
      <c r="L62" s="445">
        <f t="shared" si="295"/>
        <v>180347.4028077643</v>
      </c>
      <c r="M62" s="445">
        <f t="shared" si="295"/>
        <v>234784.62877476227</v>
      </c>
      <c r="N62" s="445">
        <f t="shared" ref="N62:BI62" si="296">N55+N50+N26+N28</f>
        <v>1249817.6707418098</v>
      </c>
      <c r="O62" s="445">
        <f t="shared" si="296"/>
        <v>1256658.8309706855</v>
      </c>
      <c r="P62" s="445">
        <f t="shared" si="296"/>
        <v>1263599.6256798301</v>
      </c>
      <c r="Q62" s="445">
        <f t="shared" si="296"/>
        <v>1270655.0000412839</v>
      </c>
      <c r="R62" s="445">
        <f t="shared" si="296"/>
        <v>1277842.141002893</v>
      </c>
      <c r="S62" s="445">
        <f t="shared" si="296"/>
        <v>1285180.8135546809</v>
      </c>
      <c r="T62" s="445">
        <f t="shared" si="296"/>
        <v>1292693.7474351749</v>
      </c>
      <c r="U62" s="445">
        <f t="shared" si="296"/>
        <v>1300407.0818436802</v>
      </c>
      <c r="V62" s="445">
        <f t="shared" si="296"/>
        <v>1308350.876859399</v>
      </c>
      <c r="W62" s="445">
        <f t="shared" si="296"/>
        <v>1316785.0728234129</v>
      </c>
      <c r="X62" s="445">
        <f t="shared" si="296"/>
        <v>1325333.6086279666</v>
      </c>
      <c r="Y62" s="445">
        <f t="shared" si="296"/>
        <v>1334237.8852491409</v>
      </c>
      <c r="Z62" s="445">
        <f t="shared" si="296"/>
        <v>2585114.2662531785</v>
      </c>
      <c r="AA62" s="445">
        <f t="shared" si="296"/>
        <v>2601075.0424038637</v>
      </c>
      <c r="AB62" s="445">
        <f t="shared" si="296"/>
        <v>2617576.8558690264</v>
      </c>
      <c r="AC62" s="445">
        <f t="shared" si="296"/>
        <v>2634700.8622458391</v>
      </c>
      <c r="AD62" s="445">
        <f t="shared" si="296"/>
        <v>2652540.3904710482</v>
      </c>
      <c r="AE62" s="445">
        <f t="shared" si="296"/>
        <v>2671202.7688219137</v>
      </c>
      <c r="AF62" s="445">
        <f t="shared" si="296"/>
        <v>2690811.4248172841</v>
      </c>
      <c r="AG62" s="445">
        <f t="shared" si="296"/>
        <v>2711508.3001038348</v>
      </c>
      <c r="AH62" s="445">
        <f t="shared" si="296"/>
        <v>2733456.6275752434</v>
      </c>
      <c r="AI62" s="445">
        <f t="shared" si="296"/>
        <v>2756844.1250592386</v>
      </c>
      <c r="AJ62" s="445">
        <f t="shared" si="296"/>
        <v>2781886.6680577076</v>
      </c>
      <c r="AK62" s="445">
        <f t="shared" si="296"/>
        <v>2808832.5133978217</v>
      </c>
      <c r="AL62" s="445">
        <f t="shared" si="296"/>
        <v>4079530.1588745788</v>
      </c>
      <c r="AM62" s="445">
        <f t="shared" si="296"/>
        <v>4117358.8496148284</v>
      </c>
      <c r="AN62" s="445">
        <f t="shared" si="296"/>
        <v>4158082.2253039279</v>
      </c>
      <c r="AO62" s="445">
        <f t="shared" si="296"/>
        <v>4202134.4886842044</v>
      </c>
      <c r="AP62" s="445">
        <f t="shared" si="296"/>
        <v>4250014.972909335</v>
      </c>
      <c r="AQ62" s="445">
        <f t="shared" si="296"/>
        <v>4302297.9111060472</v>
      </c>
      <c r="AR62" s="445">
        <f t="shared" si="296"/>
        <v>4359643.6713700797</v>
      </c>
      <c r="AS62" s="445">
        <f t="shared" si="296"/>
        <v>4422811.677011529</v>
      </c>
      <c r="AT62" s="445">
        <f t="shared" si="296"/>
        <v>4492675.264837008</v>
      </c>
      <c r="AU62" s="445">
        <f t="shared" si="296"/>
        <v>4570238.7721741218</v>
      </c>
      <c r="AV62" s="445">
        <f t="shared" si="296"/>
        <v>4656657.1869496154</v>
      </c>
      <c r="AW62" s="445">
        <f t="shared" si="296"/>
        <v>4753258.7452792451</v>
      </c>
      <c r="AX62" s="445">
        <f t="shared" si="296"/>
        <v>5606508.7201623814</v>
      </c>
      <c r="AY62" s="445">
        <f t="shared" si="296"/>
        <v>5731994.2591458634</v>
      </c>
      <c r="AZ62" s="445">
        <f t="shared" si="296"/>
        <v>5872967.0865822434</v>
      </c>
      <c r="BA62" s="445">
        <f t="shared" si="296"/>
        <v>6031975.666989455</v>
      </c>
      <c r="BB62" s="445">
        <f t="shared" si="296"/>
        <v>6211275.7420631228</v>
      </c>
      <c r="BC62" s="445">
        <f t="shared" si="296"/>
        <v>6414135.2860032162</v>
      </c>
      <c r="BD62" s="445">
        <f t="shared" si="296"/>
        <v>6644088.219139698</v>
      </c>
      <c r="BE62" s="445">
        <f t="shared" si="296"/>
        <v>6905198.5498520276</v>
      </c>
      <c r="BF62" s="445">
        <f t="shared" si="296"/>
        <v>7202139.8877765825</v>
      </c>
      <c r="BG62" s="445">
        <f t="shared" si="296"/>
        <v>7540286.883995194</v>
      </c>
      <c r="BH62" s="445">
        <f t="shared" si="296"/>
        <v>7925820.3872519732</v>
      </c>
      <c r="BI62" s="445">
        <f t="shared" si="296"/>
        <v>8365848.3736026445</v>
      </c>
    </row>
    <row r="63" spans="1:61" s="151" customFormat="1" x14ac:dyDescent="0.25">
      <c r="A63" s="151" t="s">
        <v>347</v>
      </c>
      <c r="B63" s="162"/>
      <c r="C63" s="161">
        <f>(C62-B62)/C62</f>
        <v>0.23370186808997337</v>
      </c>
      <c r="D63" s="161">
        <f t="shared" ref="D63:G63" si="297">(D62-C62)/D62</f>
        <v>0.13373734704998427</v>
      </c>
      <c r="E63" s="161">
        <f t="shared" si="297"/>
        <v>0.13329712470580493</v>
      </c>
      <c r="F63" s="161">
        <f t="shared" si="297"/>
        <v>0.13291667172093038</v>
      </c>
      <c r="G63" s="161">
        <f t="shared" si="297"/>
        <v>0.13258760399017003</v>
      </c>
      <c r="H63" s="161">
        <f t="shared" ref="H63" si="298">(H62-G62)/H62</f>
        <v>0.99269460319567482</v>
      </c>
      <c r="I63" s="161">
        <f t="shared" ref="I63" si="299">(I62-H62)/I62</f>
        <v>0.23719970822178005</v>
      </c>
      <c r="J63" s="161">
        <f t="shared" ref="J63:K63" si="300">(J62-I62)/J62</f>
        <v>0.23350249473964274</v>
      </c>
      <c r="K63" s="161">
        <f t="shared" si="300"/>
        <v>0.23380014071700095</v>
      </c>
      <c r="L63" s="161">
        <f t="shared" ref="L63" si="301">(L62-K62)/L62</f>
        <v>0.23267517183722558</v>
      </c>
      <c r="M63" s="161">
        <f t="shared" ref="M63" si="302">(M62-L62)/M62</f>
        <v>0.23186026381318875</v>
      </c>
      <c r="N63" s="161">
        <f t="shared" ref="N63" si="303">(N62-M62)/N62</f>
        <v>0.81214489579475257</v>
      </c>
      <c r="O63" s="161">
        <f t="shared" ref="O63" si="304">(O62-N62)/O62</f>
        <v>5.4439280258678936E-3</v>
      </c>
      <c r="P63" s="161">
        <f t="shared" ref="P63" si="305">(P62-O62)/P62</f>
        <v>5.4928749329206271E-3</v>
      </c>
      <c r="Q63" s="161">
        <f>(Q62-P62)/Q62</f>
        <v>5.5525491665515654E-3</v>
      </c>
      <c r="R63" s="161">
        <f t="shared" ref="R63" si="306">(R62-Q62)/R62</f>
        <v>5.6244357037469241E-3</v>
      </c>
      <c r="S63" s="161">
        <f t="shared" ref="S63" si="307">(S62-R62)/S62</f>
        <v>5.7102257319652117E-3</v>
      </c>
      <c r="T63" s="161">
        <f t="shared" ref="T63" si="308">(T62-S62)/T62</f>
        <v>5.8118435982229657E-3</v>
      </c>
      <c r="U63" s="161">
        <f t="shared" ref="U63" si="309">(U62-T62)/U62</f>
        <v>5.9314767784635616E-3</v>
      </c>
      <c r="V63" s="161">
        <f t="shared" ref="V63" si="310">(V62-U62)/V62</f>
        <v>6.0716090432768989E-3</v>
      </c>
      <c r="W63" s="161">
        <f t="shared" ref="W63" si="311">(W62-V62)/W62</f>
        <v>6.4051424473772038E-3</v>
      </c>
      <c r="X63" s="161">
        <f t="shared" ref="X63" si="312">(X62-W62)/X62</f>
        <v>6.4501011284271359E-3</v>
      </c>
      <c r="Y63" s="161">
        <f t="shared" ref="Y63" si="313">(Y62-X62)/Y62</f>
        <v>6.6736799483936207E-3</v>
      </c>
      <c r="Z63" s="161">
        <f t="shared" ref="Z63" si="314">(Z62-Y62)/Z62</f>
        <v>0.48387663065162567</v>
      </c>
      <c r="AA63" s="161">
        <f t="shared" ref="AA63" si="315">(AA62-Z62)/AA62</f>
        <v>6.1362228657327106E-3</v>
      </c>
      <c r="AB63" s="161">
        <f t="shared" ref="AB63" si="316">(AB62-AA62)/AB62</f>
        <v>6.3042326448459144E-3</v>
      </c>
      <c r="AC63" s="161">
        <f t="shared" ref="AC63" si="317">(AC62-AB62)/AC62</f>
        <v>6.4994119910129254E-3</v>
      </c>
      <c r="AD63" s="161">
        <f t="shared" ref="AD63" si="318">(AD62-AC62)/AD62</f>
        <v>6.7254501719542477E-3</v>
      </c>
      <c r="AE63" s="161">
        <f t="shared" ref="AE63" si="319">(AE62-AD62)/AE62</f>
        <v>6.9865075645666056E-3</v>
      </c>
      <c r="AF63" s="161">
        <f t="shared" ref="AF63" si="320">(AF62-AE62)/AF62</f>
        <v>7.2872650288757614E-3</v>
      </c>
      <c r="AG63" s="161">
        <f t="shared" ref="AG63" si="321">(AG62-AF62)/AG62</f>
        <v>7.6329750809754696E-3</v>
      </c>
      <c r="AH63" s="161">
        <f t="shared" ref="AH63" si="322">(AH62-AG62)/AH62</f>
        <v>8.0295137116838562E-3</v>
      </c>
      <c r="AI63" s="161">
        <f t="shared" ref="AI63" si="323">(AI62-AH62)/AI62</f>
        <v>8.4834312072296549E-3</v>
      </c>
      <c r="AJ63" s="161">
        <f t="shared" ref="AJ63" si="324">(AJ62-AI62)/AJ62</f>
        <v>9.0019997169595283E-3</v>
      </c>
      <c r="AK63" s="161">
        <f t="shared" ref="AK63" si="325">(AK62-AJ62)/AK62</f>
        <v>9.593254568076014E-3</v>
      </c>
      <c r="AL63" s="161">
        <f t="shared" ref="AL63" si="326">(AL62-AK62)/AL62</f>
        <v>0.31148137064570808</v>
      </c>
      <c r="AM63" s="161">
        <f t="shared" ref="AM63" si="327">(AM62-AL62)/AM62</f>
        <v>9.1876108257574855E-3</v>
      </c>
      <c r="AN63" s="161">
        <f t="shared" ref="AN63" si="328">(AN62-AM62)/AN62</f>
        <v>9.7937879730415709E-3</v>
      </c>
      <c r="AO63" s="161">
        <f t="shared" ref="AO63" si="329">(AO62-AN62)/AO62</f>
        <v>1.0483306400331417E-2</v>
      </c>
      <c r="AP63" s="161">
        <f t="shared" ref="AP63" si="330">(AP62-AO62)/AP62</f>
        <v>1.1265956597878572E-2</v>
      </c>
      <c r="AQ63" s="161">
        <f t="shared" ref="AQ63" si="331">(AQ62-AP62)/AQ62</f>
        <v>1.2152328657145717E-2</v>
      </c>
      <c r="AR63" s="161">
        <f t="shared" ref="AR63" si="332">(AR62-AQ62)/AR62</f>
        <v>1.3153772323326325E-2</v>
      </c>
      <c r="AS63" s="161">
        <f t="shared" ref="AS63" si="333">(AS62-AR62)/AS62</f>
        <v>1.4282318636757226E-2</v>
      </c>
      <c r="AT63" s="161">
        <f t="shared" ref="AT63" si="334">(AT62-AS62)/AT62</f>
        <v>1.5550553669499102E-2</v>
      </c>
      <c r="AU63" s="161">
        <f t="shared" ref="AU63" si="335">(AU62-AT62)/AU62</f>
        <v>1.6971434361232701E-2</v>
      </c>
      <c r="AV63" s="161">
        <f t="shared" ref="AV63" si="336">(AV62-AU62)/AV62</f>
        <v>1.8558036657214765E-2</v>
      </c>
      <c r="AW63" s="161">
        <f t="shared" ref="AW63" si="337">(AW62-AV62)/AW62</f>
        <v>2.032322739122306E-2</v>
      </c>
      <c r="AX63" s="161">
        <f t="shared" ref="AX63" si="338">(AX62-AW62)/AX62</f>
        <v>0.15218918180125895</v>
      </c>
      <c r="AY63" s="161">
        <f t="shared" ref="AY63" si="339">(AY62-AX62)/AY62</f>
        <v>2.1892125726270494E-2</v>
      </c>
      <c r="AZ63" s="161">
        <f t="shared" ref="AZ63" si="340">(AZ62-AY62)/AZ62</f>
        <v>2.4003680824034521E-2</v>
      </c>
      <c r="BA63" s="161">
        <f t="shared" ref="BA63" si="341">(BA62-AZ62)/BA62</f>
        <v>2.6360945266639707E-2</v>
      </c>
      <c r="BB63" s="161">
        <f t="shared" ref="BB63" si="342">(BB62-BA62)/BB62</f>
        <v>2.8866867696669334E-2</v>
      </c>
      <c r="BC63" s="161">
        <f t="shared" ref="BC63" si="343">(BC62-BB62)/BC62</f>
        <v>3.1626951240453095E-2</v>
      </c>
      <c r="BD63" s="161">
        <f t="shared" ref="BD63" si="344">(BD62-BC62)/BD62</f>
        <v>3.4610156510874408E-2</v>
      </c>
      <c r="BE63" s="161">
        <f t="shared" ref="BE63" si="345">(BE62-BD62)/BE62</f>
        <v>3.7813587665473422E-2</v>
      </c>
      <c r="BF63" s="161">
        <f t="shared" ref="BF63" si="346">(BF62-BE62)/BF62</f>
        <v>4.122959877917972E-2</v>
      </c>
      <c r="BG63" s="161">
        <f t="shared" ref="BG63" si="347">(BG62-BF62)/BG62</f>
        <v>4.4845375437419101E-2</v>
      </c>
      <c r="BH63" s="161">
        <f t="shared" ref="BH63" si="348">(BH62-BG62)/BH62</f>
        <v>4.8642725222095361E-2</v>
      </c>
      <c r="BI63" s="161">
        <f t="shared" ref="BI63" si="349">(BI62-BH62)/BI62</f>
        <v>5.2598130721460711E-2</v>
      </c>
    </row>
    <row r="65" spans="1:61" x14ac:dyDescent="0.25">
      <c r="A65" s="1" t="s">
        <v>344</v>
      </c>
      <c r="B65" s="174">
        <f>B32/B62</f>
        <v>0</v>
      </c>
      <c r="C65" s="174">
        <f t="shared" ref="C65:M65" si="350">C32/C62</f>
        <v>0</v>
      </c>
      <c r="D65" s="174">
        <f t="shared" si="350"/>
        <v>0</v>
      </c>
      <c r="E65" s="174">
        <f t="shared" si="350"/>
        <v>0</v>
      </c>
      <c r="F65" s="174">
        <f t="shared" si="350"/>
        <v>0</v>
      </c>
      <c r="G65" s="174">
        <f t="shared" si="350"/>
        <v>0</v>
      </c>
      <c r="H65" s="174">
        <f t="shared" si="350"/>
        <v>0.32260952698472306</v>
      </c>
      <c r="I65" s="174">
        <f t="shared" si="350"/>
        <v>0.31991263370869433</v>
      </c>
      <c r="J65" s="174">
        <f t="shared" si="350"/>
        <v>0.31877590633068009</v>
      </c>
      <c r="K65" s="174">
        <f t="shared" si="350"/>
        <v>0.31751987094539086</v>
      </c>
      <c r="L65" s="174">
        <f t="shared" si="350"/>
        <v>0.31673314453486984</v>
      </c>
      <c r="M65" s="174">
        <f t="shared" si="350"/>
        <v>0.31628390831002429</v>
      </c>
      <c r="N65" s="174">
        <f t="shared" ref="N65:BI65" si="351">N32/N62</f>
        <v>0.3231999030388546</v>
      </c>
      <c r="O65" s="174">
        <f t="shared" si="351"/>
        <v>0.32144042602874356</v>
      </c>
      <c r="P65" s="174">
        <f t="shared" si="351"/>
        <v>0.319674793970183</v>
      </c>
      <c r="Q65" s="174">
        <f t="shared" si="351"/>
        <v>0.31789978395935631</v>
      </c>
      <c r="R65" s="174">
        <f t="shared" si="351"/>
        <v>0.31611177706424187</v>
      </c>
      <c r="S65" s="174">
        <f t="shared" si="351"/>
        <v>0.31430670746067235</v>
      </c>
      <c r="T65" s="174">
        <f t="shared" si="351"/>
        <v>0.3124800060350385</v>
      </c>
      <c r="U65" s="174">
        <f t="shared" si="351"/>
        <v>0.31062653813550756</v>
      </c>
      <c r="V65" s="174">
        <f t="shared" si="351"/>
        <v>0.30874053523748218</v>
      </c>
      <c r="W65" s="174">
        <f t="shared" si="351"/>
        <v>0.30676300813000662</v>
      </c>
      <c r="X65" s="174">
        <f t="shared" si="351"/>
        <v>0.30478435570510759</v>
      </c>
      <c r="Y65" s="174">
        <f t="shared" si="351"/>
        <v>0.30275032246185435</v>
      </c>
      <c r="Z65" s="174">
        <f t="shared" si="351"/>
        <v>0.31251303300063815</v>
      </c>
      <c r="AA65" s="174">
        <f t="shared" si="351"/>
        <v>0.31059538338170012</v>
      </c>
      <c r="AB65" s="174">
        <f t="shared" si="351"/>
        <v>0.30863731782644682</v>
      </c>
      <c r="AC65" s="174">
        <f t="shared" si="351"/>
        <v>0.30663135674209152</v>
      </c>
      <c r="AD65" s="174">
        <f t="shared" si="351"/>
        <v>0.30456912283116389</v>
      </c>
      <c r="AE65" s="174">
        <f t="shared" si="351"/>
        <v>0.30244124835057051</v>
      </c>
      <c r="AF65" s="174">
        <f t="shared" si="351"/>
        <v>0.30023727881817586</v>
      </c>
      <c r="AG65" s="174">
        <f t="shared" si="351"/>
        <v>0.29794557515057685</v>
      </c>
      <c r="AH65" s="174">
        <f t="shared" si="351"/>
        <v>0.29555321706956977</v>
      </c>
      <c r="AI65" s="174">
        <f t="shared" si="351"/>
        <v>0.29304591168448468</v>
      </c>
      <c r="AJ65" s="174">
        <f t="shared" si="351"/>
        <v>0.29040791247044478</v>
      </c>
      <c r="AK65" s="174">
        <f t="shared" si="351"/>
        <v>0.28762195543753227</v>
      </c>
      <c r="AL65" s="174">
        <f t="shared" si="351"/>
        <v>0.29704961179507644</v>
      </c>
      <c r="AM65" s="174">
        <f t="shared" si="351"/>
        <v>0.29432043556596094</v>
      </c>
      <c r="AN65" s="174">
        <f t="shared" si="351"/>
        <v>0.29143792362389465</v>
      </c>
      <c r="AO65" s="174">
        <f t="shared" si="351"/>
        <v>0.288382690573869</v>
      </c>
      <c r="AP65" s="174">
        <f t="shared" si="351"/>
        <v>0.28513378369828435</v>
      </c>
      <c r="AQ65" s="174">
        <f t="shared" si="351"/>
        <v>0.2816687442475273</v>
      </c>
      <c r="AR65" s="174">
        <f t="shared" si="351"/>
        <v>0.27796373771509808</v>
      </c>
      <c r="AS65" s="174">
        <f t="shared" si="351"/>
        <v>0.27399377104358702</v>
      </c>
      <c r="AT65" s="174">
        <f t="shared" si="351"/>
        <v>0.26973301620186529</v>
      </c>
      <c r="AU65" s="174">
        <f t="shared" si="351"/>
        <v>0.26515526002233802</v>
      </c>
      <c r="AV65" s="174">
        <f t="shared" si="351"/>
        <v>0.26023449898699014</v>
      </c>
      <c r="AW65" s="174">
        <f t="shared" si="351"/>
        <v>0.25494569408903656</v>
      </c>
      <c r="AX65" s="174">
        <f t="shared" si="351"/>
        <v>0.25937486100224638</v>
      </c>
      <c r="AY65" s="174">
        <f t="shared" si="351"/>
        <v>0.25369659393495125</v>
      </c>
      <c r="AZ65" s="174">
        <f t="shared" si="351"/>
        <v>0.24760694186799201</v>
      </c>
      <c r="BA65" s="174">
        <f t="shared" si="351"/>
        <v>0.24107978882576983</v>
      </c>
      <c r="BB65" s="174">
        <f t="shared" si="351"/>
        <v>0.23412057045739534</v>
      </c>
      <c r="BC65" s="174">
        <f t="shared" si="351"/>
        <v>0.22671605059115224</v>
      </c>
      <c r="BD65" s="174">
        <f t="shared" si="351"/>
        <v>0.21886937259666514</v>
      </c>
      <c r="BE65" s="174">
        <f t="shared" si="351"/>
        <v>0.21059313638869398</v>
      </c>
      <c r="BF65" s="174">
        <f t="shared" si="351"/>
        <v>0.20191046586973904</v>
      </c>
      <c r="BG65" s="174">
        <f t="shared" si="351"/>
        <v>0.19285571522306641</v>
      </c>
      <c r="BH65" s="174">
        <f t="shared" si="351"/>
        <v>0.18347468765996011</v>
      </c>
      <c r="BI65" s="174">
        <f t="shared" si="351"/>
        <v>0.17382426205434237</v>
      </c>
    </row>
    <row r="67" spans="1:61" s="150" customFormat="1" collapsed="1" x14ac:dyDescent="0.25">
      <c r="A67" s="150" t="s">
        <v>348</v>
      </c>
      <c r="B67" s="641">
        <f>(B61*$B$10)</f>
        <v>38.999025000000003</v>
      </c>
      <c r="C67" s="641">
        <f t="shared" ref="C67:M67" si="352">(C61*$B$10)</f>
        <v>89.891782500000005</v>
      </c>
      <c r="D67" s="641">
        <f t="shared" si="352"/>
        <v>148.64158237500001</v>
      </c>
      <c r="E67" s="641">
        <f t="shared" si="352"/>
        <v>216.42698098125004</v>
      </c>
      <c r="F67" s="641">
        <f t="shared" si="352"/>
        <v>294.60331812843759</v>
      </c>
      <c r="G67" s="641">
        <f t="shared" si="352"/>
        <v>384.72923459770323</v>
      </c>
      <c r="H67" s="641">
        <f t="shared" si="352"/>
        <v>12721.624667287359</v>
      </c>
      <c r="I67" s="641">
        <f t="shared" si="352"/>
        <v>28894.790259463796</v>
      </c>
      <c r="J67" s="641">
        <f t="shared" si="352"/>
        <v>49994.879276300031</v>
      </c>
      <c r="K67" s="641">
        <f t="shared" si="352"/>
        <v>77533.502210245046</v>
      </c>
      <c r="L67" s="641">
        <f t="shared" si="352"/>
        <v>113422.63536899013</v>
      </c>
      <c r="M67" s="641">
        <f t="shared" si="352"/>
        <v>160144.77649516787</v>
      </c>
      <c r="N67" s="641">
        <f t="shared" ref="N67:BI67" si="353">(N61*$B$10)</f>
        <v>408858.49297278805</v>
      </c>
      <c r="O67" s="641">
        <f t="shared" si="353"/>
        <v>658933.60033595457</v>
      </c>
      <c r="P67" s="641">
        <f t="shared" si="353"/>
        <v>910389.92584624072</v>
      </c>
      <c r="Q67" s="641">
        <f t="shared" si="353"/>
        <v>1163250.2708544561</v>
      </c>
      <c r="R67" s="641">
        <f t="shared" si="353"/>
        <v>1417540.856914032</v>
      </c>
      <c r="S67" s="641">
        <f t="shared" si="353"/>
        <v>1673291.8388114134</v>
      </c>
      <c r="T67" s="641">
        <f t="shared" si="353"/>
        <v>1930537.8945510136</v>
      </c>
      <c r="U67" s="641">
        <f t="shared" si="353"/>
        <v>2189318.9038379057</v>
      </c>
      <c r="V67" s="641">
        <f t="shared" si="353"/>
        <v>2449680.7283329261</v>
      </c>
      <c r="W67" s="641">
        <f t="shared" si="353"/>
        <v>2711720.9578247853</v>
      </c>
      <c r="X67" s="641">
        <f t="shared" si="353"/>
        <v>2975462.3459417503</v>
      </c>
      <c r="Y67" s="641">
        <f t="shared" si="353"/>
        <v>3240975.6851063296</v>
      </c>
      <c r="Z67" s="641">
        <f t="shared" si="353"/>
        <v>3755413.4240907119</v>
      </c>
      <c r="AA67" s="641">
        <f t="shared" si="353"/>
        <v>4273027.3575290814</v>
      </c>
      <c r="AB67" s="641">
        <f t="shared" si="353"/>
        <v>4793925.151847017</v>
      </c>
      <c r="AC67" s="641">
        <f t="shared" si="353"/>
        <v>5318230.6234339401</v>
      </c>
      <c r="AD67" s="641">
        <f t="shared" si="353"/>
        <v>5846086.1611376777</v>
      </c>
      <c r="AE67" s="641">
        <f t="shared" si="353"/>
        <v>6377655.5121332388</v>
      </c>
      <c r="AF67" s="641">
        <f t="shared" si="353"/>
        <v>6913126.9856718797</v>
      </c>
      <c r="AG67" s="641">
        <f t="shared" si="353"/>
        <v>7452717.1373925423</v>
      </c>
      <c r="AH67" s="641">
        <f t="shared" si="353"/>
        <v>7996675.0062800143</v>
      </c>
      <c r="AI67" s="641">
        <f t="shared" si="353"/>
        <v>8545286.9871668015</v>
      </c>
      <c r="AJ67" s="641">
        <f t="shared" si="353"/>
        <v>9098882.4341102839</v>
      </c>
      <c r="AK67" s="641">
        <f t="shared" si="353"/>
        <v>9657840.1042764522</v>
      </c>
      <c r="AL67" s="641">
        <f t="shared" si="353"/>
        <v>10469666.605892494</v>
      </c>
      <c r="AM67" s="641">
        <f t="shared" si="353"/>
        <v>11289021.016965844</v>
      </c>
      <c r="AN67" s="641">
        <f t="shared" si="353"/>
        <v>12116479.379801326</v>
      </c>
      <c r="AO67" s="641">
        <f t="shared" si="353"/>
        <v>12952704.143049484</v>
      </c>
      <c r="AP67" s="641">
        <f t="shared" si="353"/>
        <v>13798457.122658445</v>
      </c>
      <c r="AQ67" s="641">
        <f t="shared" si="353"/>
        <v>14654614.406968541</v>
      </c>
      <c r="AR67" s="641">
        <f t="shared" si="353"/>
        <v>15522183.497571193</v>
      </c>
      <c r="AS67" s="641">
        <f t="shared" si="353"/>
        <v>16402323.021296486</v>
      </c>
      <c r="AT67" s="641">
        <f t="shared" si="353"/>
        <v>17296365.39899905</v>
      </c>
      <c r="AU67" s="641">
        <f t="shared" si="353"/>
        <v>18205842.914661702</v>
      </c>
      <c r="AV67" s="641">
        <f t="shared" si="353"/>
        <v>19132517.694864675</v>
      </c>
      <c r="AW67" s="641">
        <f t="shared" si="353"/>
        <v>20078416.185175244</v>
      </c>
      <c r="AX67" s="641">
        <f t="shared" si="353"/>
        <v>21194111.42048756</v>
      </c>
      <c r="AY67" s="641">
        <f t="shared" si="353"/>
        <v>22334778.27805759</v>
      </c>
      <c r="AZ67" s="641">
        <f t="shared" si="353"/>
        <v>23503498.728287455</v>
      </c>
      <c r="BA67" s="641">
        <f t="shared" si="353"/>
        <v>24703861.886018358</v>
      </c>
      <c r="BB67" s="641">
        <f t="shared" si="353"/>
        <v>25939905.758688923</v>
      </c>
      <c r="BC67" s="641">
        <f t="shared" si="353"/>
        <v>27216318.68060356</v>
      </c>
      <c r="BD67" s="641">
        <f t="shared" si="353"/>
        <v>28538492.236212362</v>
      </c>
      <c r="BE67" s="641">
        <f t="shared" si="353"/>
        <v>29912626.747632917</v>
      </c>
      <c r="BF67" s="641">
        <f t="shared" si="353"/>
        <v>31345852.58530046</v>
      </c>
      <c r="BG67" s="641">
        <f t="shared" si="353"/>
        <v>32846369.675215501</v>
      </c>
      <c r="BH67" s="641">
        <f t="shared" si="353"/>
        <v>34423607.932278648</v>
      </c>
      <c r="BI67" s="641">
        <f t="shared" si="353"/>
        <v>36088411.758625567</v>
      </c>
    </row>
    <row r="69" spans="1:61" x14ac:dyDescent="0.25">
      <c r="A69" s="200" t="s">
        <v>376</v>
      </c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</row>
    <row r="70" spans="1:61" outlineLevel="1" x14ac:dyDescent="0.25">
      <c r="A70" s="200" t="s">
        <v>367</v>
      </c>
      <c r="B70" s="201">
        <v>44197</v>
      </c>
      <c r="C70" s="201">
        <v>44228</v>
      </c>
      <c r="D70" s="201">
        <v>44256</v>
      </c>
      <c r="E70" s="201">
        <v>44287</v>
      </c>
      <c r="F70" s="201">
        <v>44317</v>
      </c>
      <c r="G70" s="201">
        <v>44348</v>
      </c>
      <c r="H70" s="201">
        <v>44378</v>
      </c>
      <c r="I70" s="201">
        <v>44409</v>
      </c>
      <c r="J70" s="201">
        <v>44440</v>
      </c>
      <c r="K70" s="201">
        <v>44470</v>
      </c>
      <c r="L70" s="201">
        <v>44501</v>
      </c>
      <c r="M70" s="201">
        <v>44531</v>
      </c>
      <c r="N70" s="207">
        <v>44562</v>
      </c>
      <c r="O70" s="207">
        <v>44593</v>
      </c>
      <c r="P70" s="207">
        <v>44621</v>
      </c>
      <c r="Q70" s="207">
        <v>44652</v>
      </c>
      <c r="R70" s="207">
        <v>44682</v>
      </c>
      <c r="S70" s="207">
        <v>44713</v>
      </c>
      <c r="T70" s="207">
        <v>44743</v>
      </c>
      <c r="U70" s="207">
        <v>44774</v>
      </c>
      <c r="V70" s="207">
        <v>44805</v>
      </c>
      <c r="W70" s="207">
        <v>44835</v>
      </c>
      <c r="X70" s="207">
        <v>44866</v>
      </c>
      <c r="Y70" s="207">
        <v>44896</v>
      </c>
      <c r="Z70" s="205">
        <v>44927</v>
      </c>
      <c r="AA70" s="205">
        <v>44958</v>
      </c>
      <c r="AB70" s="205">
        <v>44986</v>
      </c>
      <c r="AC70" s="205">
        <v>45017</v>
      </c>
      <c r="AD70" s="205">
        <v>45047</v>
      </c>
      <c r="AE70" s="205">
        <v>45078</v>
      </c>
      <c r="AF70" s="205">
        <v>45108</v>
      </c>
      <c r="AG70" s="205">
        <v>45139</v>
      </c>
      <c r="AH70" s="205">
        <v>45170</v>
      </c>
      <c r="AI70" s="205">
        <v>45200</v>
      </c>
      <c r="AJ70" s="205">
        <v>45231</v>
      </c>
      <c r="AK70" s="205">
        <v>45261</v>
      </c>
      <c r="AL70" s="203">
        <v>45292</v>
      </c>
      <c r="AM70" s="203">
        <v>45323</v>
      </c>
      <c r="AN70" s="203">
        <v>45352</v>
      </c>
      <c r="AO70" s="203">
        <v>45383</v>
      </c>
      <c r="AP70" s="203">
        <v>45413</v>
      </c>
      <c r="AQ70" s="203">
        <v>45444</v>
      </c>
      <c r="AR70" s="203">
        <v>45474</v>
      </c>
      <c r="AS70" s="203">
        <v>45505</v>
      </c>
      <c r="AT70" s="203">
        <v>45536</v>
      </c>
      <c r="AU70" s="203">
        <v>45566</v>
      </c>
      <c r="AV70" s="203">
        <v>45597</v>
      </c>
      <c r="AW70" s="203">
        <v>45627</v>
      </c>
    </row>
    <row r="71" spans="1:61" outlineLevel="1" x14ac:dyDescent="0.25">
      <c r="A71" s="1" t="s">
        <v>371</v>
      </c>
      <c r="B71" s="639">
        <f>N62</f>
        <v>1249817.6707418098</v>
      </c>
      <c r="C71" s="639">
        <f t="shared" ref="C71:AW71" si="354">O62</f>
        <v>1256658.8309706855</v>
      </c>
      <c r="D71" s="639">
        <f t="shared" si="354"/>
        <v>1263599.6256798301</v>
      </c>
      <c r="E71" s="639">
        <f t="shared" si="354"/>
        <v>1270655.0000412839</v>
      </c>
      <c r="F71" s="639">
        <f t="shared" si="354"/>
        <v>1277842.141002893</v>
      </c>
      <c r="G71" s="639">
        <f t="shared" si="354"/>
        <v>1285180.8135546809</v>
      </c>
      <c r="H71" s="639">
        <f t="shared" si="354"/>
        <v>1292693.7474351749</v>
      </c>
      <c r="I71" s="639">
        <f t="shared" si="354"/>
        <v>1300407.0818436802</v>
      </c>
      <c r="J71" s="639">
        <f t="shared" si="354"/>
        <v>1308350.876859399</v>
      </c>
      <c r="K71" s="639">
        <f t="shared" si="354"/>
        <v>1316785.0728234129</v>
      </c>
      <c r="L71" s="639">
        <f t="shared" si="354"/>
        <v>1325333.6086279666</v>
      </c>
      <c r="M71" s="639">
        <f t="shared" si="354"/>
        <v>1334237.8852491409</v>
      </c>
      <c r="N71" s="639">
        <f t="shared" si="354"/>
        <v>2585114.2662531785</v>
      </c>
      <c r="O71" s="639">
        <f t="shared" si="354"/>
        <v>2601075.0424038637</v>
      </c>
      <c r="P71" s="639">
        <f t="shared" si="354"/>
        <v>2617576.8558690264</v>
      </c>
      <c r="Q71" s="639">
        <f t="shared" si="354"/>
        <v>2634700.8622458391</v>
      </c>
      <c r="R71" s="639">
        <f t="shared" si="354"/>
        <v>2652540.3904710482</v>
      </c>
      <c r="S71" s="639">
        <f t="shared" si="354"/>
        <v>2671202.7688219137</v>
      </c>
      <c r="T71" s="639">
        <f t="shared" si="354"/>
        <v>2690811.4248172841</v>
      </c>
      <c r="U71" s="639">
        <f t="shared" si="354"/>
        <v>2711508.3001038348</v>
      </c>
      <c r="V71" s="639">
        <f t="shared" si="354"/>
        <v>2733456.6275752434</v>
      </c>
      <c r="W71" s="639">
        <f t="shared" si="354"/>
        <v>2756844.1250592386</v>
      </c>
      <c r="X71" s="639">
        <f t="shared" si="354"/>
        <v>2781886.6680577076</v>
      </c>
      <c r="Y71" s="639">
        <f t="shared" si="354"/>
        <v>2808832.5133978217</v>
      </c>
      <c r="Z71" s="639">
        <f t="shared" si="354"/>
        <v>4079530.1588745788</v>
      </c>
      <c r="AA71" s="639">
        <f t="shared" si="354"/>
        <v>4117358.8496148284</v>
      </c>
      <c r="AB71" s="639">
        <f t="shared" si="354"/>
        <v>4158082.2253039279</v>
      </c>
      <c r="AC71" s="639">
        <f t="shared" si="354"/>
        <v>4202134.4886842044</v>
      </c>
      <c r="AD71" s="639">
        <f t="shared" si="354"/>
        <v>4250014.972909335</v>
      </c>
      <c r="AE71" s="639">
        <f t="shared" si="354"/>
        <v>4302297.9111060472</v>
      </c>
      <c r="AF71" s="639">
        <f t="shared" si="354"/>
        <v>4359643.6713700797</v>
      </c>
      <c r="AG71" s="639">
        <f t="shared" si="354"/>
        <v>4422811.677011529</v>
      </c>
      <c r="AH71" s="639">
        <f t="shared" si="354"/>
        <v>4492675.264837008</v>
      </c>
      <c r="AI71" s="639">
        <f t="shared" si="354"/>
        <v>4570238.7721741218</v>
      </c>
      <c r="AJ71" s="639">
        <f t="shared" si="354"/>
        <v>4656657.1869496154</v>
      </c>
      <c r="AK71" s="639">
        <f t="shared" si="354"/>
        <v>4753258.7452792451</v>
      </c>
      <c r="AL71" s="639">
        <f t="shared" si="354"/>
        <v>5606508.7201623814</v>
      </c>
      <c r="AM71" s="639">
        <f t="shared" si="354"/>
        <v>5731994.2591458634</v>
      </c>
      <c r="AN71" s="639">
        <f t="shared" si="354"/>
        <v>5872967.0865822434</v>
      </c>
      <c r="AO71" s="639">
        <f t="shared" si="354"/>
        <v>6031975.666989455</v>
      </c>
      <c r="AP71" s="639">
        <f t="shared" si="354"/>
        <v>6211275.7420631228</v>
      </c>
      <c r="AQ71" s="639">
        <f t="shared" si="354"/>
        <v>6414135.2860032162</v>
      </c>
      <c r="AR71" s="639">
        <f t="shared" si="354"/>
        <v>6644088.219139698</v>
      </c>
      <c r="AS71" s="639">
        <f t="shared" si="354"/>
        <v>6905198.5498520276</v>
      </c>
      <c r="AT71" s="639">
        <f t="shared" si="354"/>
        <v>7202139.8877765825</v>
      </c>
      <c r="AU71" s="639">
        <f t="shared" si="354"/>
        <v>7540286.883995194</v>
      </c>
      <c r="AV71" s="639">
        <f t="shared" si="354"/>
        <v>7925820.3872519732</v>
      </c>
      <c r="AW71" s="639">
        <f t="shared" si="354"/>
        <v>8365848.3736026445</v>
      </c>
    </row>
    <row r="72" spans="1:61" s="2" customFormat="1" outlineLevel="1" x14ac:dyDescent="0.25">
      <c r="A72" s="197" t="s">
        <v>372</v>
      </c>
      <c r="B72" s="642">
        <f>N61</f>
        <v>2044292.4648639401</v>
      </c>
      <c r="C72" s="642">
        <f t="shared" ref="C72:AW72" si="355">O61</f>
        <v>3294668.0016797725</v>
      </c>
      <c r="D72" s="642">
        <f t="shared" si="355"/>
        <v>4551949.6292312033</v>
      </c>
      <c r="E72" s="642">
        <f t="shared" si="355"/>
        <v>5816251.3542722808</v>
      </c>
      <c r="F72" s="642">
        <f t="shared" si="355"/>
        <v>7087704.2845701594</v>
      </c>
      <c r="G72" s="642">
        <f t="shared" si="355"/>
        <v>8366459.1940570669</v>
      </c>
      <c r="H72" s="642">
        <f t="shared" si="355"/>
        <v>9652689.4727550671</v>
      </c>
      <c r="I72" s="642">
        <f t="shared" si="355"/>
        <v>10946594.519189527</v>
      </c>
      <c r="J72" s="642">
        <f t="shared" si="355"/>
        <v>12248403.64166463</v>
      </c>
      <c r="K72" s="642">
        <f t="shared" si="355"/>
        <v>13558604.789123924</v>
      </c>
      <c r="L72" s="642">
        <f t="shared" si="355"/>
        <v>14877311.729708752</v>
      </c>
      <c r="M72" s="642">
        <f t="shared" si="355"/>
        <v>16204878.425531648</v>
      </c>
      <c r="N72" s="642">
        <f t="shared" si="355"/>
        <v>18777067.120453559</v>
      </c>
      <c r="O72" s="642">
        <f t="shared" si="355"/>
        <v>21365136.787645407</v>
      </c>
      <c r="P72" s="642">
        <f t="shared" si="355"/>
        <v>23969625.759235084</v>
      </c>
      <c r="Q72" s="642">
        <f t="shared" si="355"/>
        <v>26591153.117169697</v>
      </c>
      <c r="R72" s="642">
        <f t="shared" si="355"/>
        <v>29230430.805688389</v>
      </c>
      <c r="S72" s="642">
        <f t="shared" si="355"/>
        <v>31888277.560666192</v>
      </c>
      <c r="T72" s="642">
        <f t="shared" si="355"/>
        <v>34565634.928359397</v>
      </c>
      <c r="U72" s="642">
        <f t="shared" si="355"/>
        <v>37263585.686962709</v>
      </c>
      <c r="V72" s="642">
        <f t="shared" si="355"/>
        <v>39983375.03140007</v>
      </c>
      <c r="W72" s="642">
        <f t="shared" si="355"/>
        <v>42726434.935834005</v>
      </c>
      <c r="X72" s="642">
        <f t="shared" si="355"/>
        <v>45494412.170551419</v>
      </c>
      <c r="Y72" s="642">
        <f t="shared" si="355"/>
        <v>48289200.521382257</v>
      </c>
      <c r="Z72" s="642">
        <f t="shared" si="355"/>
        <v>52348333.029462464</v>
      </c>
      <c r="AA72" s="642">
        <f t="shared" si="355"/>
        <v>56445105.084829211</v>
      </c>
      <c r="AB72" s="642">
        <f t="shared" si="355"/>
        <v>60582396.899006628</v>
      </c>
      <c r="AC72" s="642">
        <f t="shared" si="355"/>
        <v>64763520.715247415</v>
      </c>
      <c r="AD72" s="642">
        <f t="shared" si="355"/>
        <v>68992285.613292217</v>
      </c>
      <c r="AE72" s="642">
        <f t="shared" si="355"/>
        <v>73273072.0348427</v>
      </c>
      <c r="AF72" s="642">
        <f t="shared" si="355"/>
        <v>77610917.487855956</v>
      </c>
      <c r="AG72" s="642">
        <f t="shared" si="355"/>
        <v>82011615.106482431</v>
      </c>
      <c r="AH72" s="642">
        <f t="shared" si="355"/>
        <v>86481826.994995251</v>
      </c>
      <c r="AI72" s="642">
        <f t="shared" si="355"/>
        <v>91029214.573308498</v>
      </c>
      <c r="AJ72" s="642">
        <f t="shared" si="355"/>
        <v>95662588.474323377</v>
      </c>
      <c r="AK72" s="642">
        <f t="shared" si="355"/>
        <v>100392080.92587622</v>
      </c>
      <c r="AL72" s="642">
        <f t="shared" si="355"/>
        <v>105970557.10243779</v>
      </c>
      <c r="AM72" s="642">
        <f t="shared" si="355"/>
        <v>111673891.39028794</v>
      </c>
      <c r="AN72" s="642">
        <f t="shared" si="355"/>
        <v>117517493.64143726</v>
      </c>
      <c r="AO72" s="642">
        <f t="shared" si="355"/>
        <v>123519309.43009178</v>
      </c>
      <c r="AP72" s="642">
        <f t="shared" si="355"/>
        <v>129699528.7934446</v>
      </c>
      <c r="AQ72" s="642">
        <f t="shared" si="355"/>
        <v>136081593.40301779</v>
      </c>
      <c r="AR72" s="642">
        <f t="shared" si="355"/>
        <v>142692461.1810618</v>
      </c>
      <c r="AS72" s="642">
        <f t="shared" si="355"/>
        <v>149563133.73816457</v>
      </c>
      <c r="AT72" s="642">
        <f t="shared" si="355"/>
        <v>156729262.92650229</v>
      </c>
      <c r="AU72" s="642">
        <f t="shared" si="355"/>
        <v>164231848.3760775</v>
      </c>
      <c r="AV72" s="642">
        <f t="shared" si="355"/>
        <v>172118039.66139323</v>
      </c>
      <c r="AW72" s="642">
        <f t="shared" si="355"/>
        <v>180442058.79312783</v>
      </c>
    </row>
    <row r="73" spans="1:61" outlineLevel="1" x14ac:dyDescent="0.25">
      <c r="A73" s="1" t="s">
        <v>373</v>
      </c>
      <c r="B73" s="639">
        <f>N67</f>
        <v>408858.49297278805</v>
      </c>
      <c r="C73" s="639">
        <f t="shared" ref="C73:AW73" si="356">O67</f>
        <v>658933.60033595457</v>
      </c>
      <c r="D73" s="639">
        <f t="shared" si="356"/>
        <v>910389.92584624072</v>
      </c>
      <c r="E73" s="639">
        <f t="shared" si="356"/>
        <v>1163250.2708544561</v>
      </c>
      <c r="F73" s="639">
        <f t="shared" si="356"/>
        <v>1417540.856914032</v>
      </c>
      <c r="G73" s="639">
        <f t="shared" si="356"/>
        <v>1673291.8388114134</v>
      </c>
      <c r="H73" s="639">
        <f t="shared" si="356"/>
        <v>1930537.8945510136</v>
      </c>
      <c r="I73" s="639">
        <f t="shared" si="356"/>
        <v>2189318.9038379057</v>
      </c>
      <c r="J73" s="639">
        <f t="shared" si="356"/>
        <v>2449680.7283329261</v>
      </c>
      <c r="K73" s="639">
        <f t="shared" si="356"/>
        <v>2711720.9578247853</v>
      </c>
      <c r="L73" s="639">
        <f t="shared" si="356"/>
        <v>2975462.3459417503</v>
      </c>
      <c r="M73" s="639">
        <f t="shared" si="356"/>
        <v>3240975.6851063296</v>
      </c>
      <c r="N73" s="639">
        <f t="shared" si="356"/>
        <v>3755413.4240907119</v>
      </c>
      <c r="O73" s="639">
        <f t="shared" si="356"/>
        <v>4273027.3575290814</v>
      </c>
      <c r="P73" s="639">
        <f t="shared" si="356"/>
        <v>4793925.151847017</v>
      </c>
      <c r="Q73" s="639">
        <f t="shared" si="356"/>
        <v>5318230.6234339401</v>
      </c>
      <c r="R73" s="639">
        <f t="shared" si="356"/>
        <v>5846086.1611376777</v>
      </c>
      <c r="S73" s="639">
        <f t="shared" si="356"/>
        <v>6377655.5121332388</v>
      </c>
      <c r="T73" s="639">
        <f t="shared" si="356"/>
        <v>6913126.9856718797</v>
      </c>
      <c r="U73" s="639">
        <f t="shared" si="356"/>
        <v>7452717.1373925423</v>
      </c>
      <c r="V73" s="639">
        <f t="shared" si="356"/>
        <v>7996675.0062800143</v>
      </c>
      <c r="W73" s="639">
        <f t="shared" si="356"/>
        <v>8545286.9871668015</v>
      </c>
      <c r="X73" s="639">
        <f t="shared" si="356"/>
        <v>9098882.4341102839</v>
      </c>
      <c r="Y73" s="639">
        <f t="shared" si="356"/>
        <v>9657840.1042764522</v>
      </c>
      <c r="Z73" s="639">
        <f t="shared" si="356"/>
        <v>10469666.605892494</v>
      </c>
      <c r="AA73" s="639">
        <f t="shared" si="356"/>
        <v>11289021.016965844</v>
      </c>
      <c r="AB73" s="639">
        <f t="shared" si="356"/>
        <v>12116479.379801326</v>
      </c>
      <c r="AC73" s="639">
        <f t="shared" si="356"/>
        <v>12952704.143049484</v>
      </c>
      <c r="AD73" s="639">
        <f t="shared" si="356"/>
        <v>13798457.122658445</v>
      </c>
      <c r="AE73" s="639">
        <f t="shared" si="356"/>
        <v>14654614.406968541</v>
      </c>
      <c r="AF73" s="639">
        <f t="shared" si="356"/>
        <v>15522183.497571193</v>
      </c>
      <c r="AG73" s="639">
        <f t="shared" si="356"/>
        <v>16402323.021296486</v>
      </c>
      <c r="AH73" s="639">
        <f t="shared" si="356"/>
        <v>17296365.39899905</v>
      </c>
      <c r="AI73" s="639">
        <f t="shared" si="356"/>
        <v>18205842.914661702</v>
      </c>
      <c r="AJ73" s="639">
        <f t="shared" si="356"/>
        <v>19132517.694864675</v>
      </c>
      <c r="AK73" s="639">
        <f t="shared" si="356"/>
        <v>20078416.185175244</v>
      </c>
      <c r="AL73" s="639">
        <f t="shared" si="356"/>
        <v>21194111.42048756</v>
      </c>
      <c r="AM73" s="639">
        <f t="shared" si="356"/>
        <v>22334778.27805759</v>
      </c>
      <c r="AN73" s="639">
        <f t="shared" si="356"/>
        <v>23503498.728287455</v>
      </c>
      <c r="AO73" s="639">
        <f t="shared" si="356"/>
        <v>24703861.886018358</v>
      </c>
      <c r="AP73" s="639">
        <f t="shared" si="356"/>
        <v>25939905.758688923</v>
      </c>
      <c r="AQ73" s="639">
        <f t="shared" si="356"/>
        <v>27216318.68060356</v>
      </c>
      <c r="AR73" s="639">
        <f t="shared" si="356"/>
        <v>28538492.236212362</v>
      </c>
      <c r="AS73" s="639">
        <f t="shared" si="356"/>
        <v>29912626.747632917</v>
      </c>
      <c r="AT73" s="639">
        <f t="shared" si="356"/>
        <v>31345852.58530046</v>
      </c>
      <c r="AU73" s="639">
        <f t="shared" si="356"/>
        <v>32846369.675215501</v>
      </c>
      <c r="AV73" s="639">
        <f t="shared" si="356"/>
        <v>34423607.932278648</v>
      </c>
      <c r="AW73" s="639">
        <f t="shared" si="356"/>
        <v>36088411.758625567</v>
      </c>
    </row>
    <row r="74" spans="1:61" outlineLevel="1" x14ac:dyDescent="0.25"/>
    <row r="75" spans="1:61" outlineLevel="1" x14ac:dyDescent="0.25">
      <c r="A75" s="206" t="s">
        <v>374</v>
      </c>
      <c r="B75" s="207">
        <v>44562</v>
      </c>
      <c r="C75" s="207">
        <v>44593</v>
      </c>
      <c r="D75" s="207">
        <v>44621</v>
      </c>
      <c r="E75" s="207">
        <v>44652</v>
      </c>
      <c r="F75" s="207">
        <v>44682</v>
      </c>
      <c r="G75" s="207">
        <v>44713</v>
      </c>
      <c r="H75" s="207">
        <v>44743</v>
      </c>
      <c r="I75" s="207">
        <v>44774</v>
      </c>
      <c r="J75" s="207">
        <v>44805</v>
      </c>
      <c r="K75" s="207">
        <v>44835</v>
      </c>
      <c r="L75" s="207">
        <v>44866</v>
      </c>
      <c r="M75" s="207">
        <v>44896</v>
      </c>
    </row>
    <row r="76" spans="1:61" outlineLevel="1" x14ac:dyDescent="0.25">
      <c r="A76" s="1" t="s">
        <v>371</v>
      </c>
      <c r="B76" s="639">
        <f>N71</f>
        <v>2585114.2662531785</v>
      </c>
      <c r="C76" s="639">
        <f t="shared" ref="C76:M76" si="357">O71</f>
        <v>2601075.0424038637</v>
      </c>
      <c r="D76" s="639">
        <f t="shared" si="357"/>
        <v>2617576.8558690264</v>
      </c>
      <c r="E76" s="639">
        <f t="shared" si="357"/>
        <v>2634700.8622458391</v>
      </c>
      <c r="F76" s="639">
        <f t="shared" si="357"/>
        <v>2652540.3904710482</v>
      </c>
      <c r="G76" s="639">
        <f t="shared" si="357"/>
        <v>2671202.7688219137</v>
      </c>
      <c r="H76" s="639">
        <f t="shared" si="357"/>
        <v>2690811.4248172841</v>
      </c>
      <c r="I76" s="639">
        <f t="shared" si="357"/>
        <v>2711508.3001038348</v>
      </c>
      <c r="J76" s="639">
        <f t="shared" si="357"/>
        <v>2733456.6275752434</v>
      </c>
      <c r="K76" s="639">
        <f t="shared" si="357"/>
        <v>2756844.1250592386</v>
      </c>
      <c r="L76" s="639">
        <f t="shared" si="357"/>
        <v>2781886.6680577076</v>
      </c>
      <c r="M76" s="639">
        <f t="shared" si="357"/>
        <v>2808832.5133978217</v>
      </c>
    </row>
    <row r="77" spans="1:61" s="2" customFormat="1" outlineLevel="1" x14ac:dyDescent="0.25">
      <c r="A77" s="197" t="s">
        <v>372</v>
      </c>
      <c r="B77" s="642">
        <f>N72</f>
        <v>18777067.120453559</v>
      </c>
      <c r="C77" s="642">
        <f t="shared" ref="C77:M77" si="358">O72</f>
        <v>21365136.787645407</v>
      </c>
      <c r="D77" s="642">
        <f t="shared" si="358"/>
        <v>23969625.759235084</v>
      </c>
      <c r="E77" s="642">
        <f t="shared" si="358"/>
        <v>26591153.117169697</v>
      </c>
      <c r="F77" s="642">
        <f t="shared" si="358"/>
        <v>29230430.805688389</v>
      </c>
      <c r="G77" s="642">
        <f t="shared" si="358"/>
        <v>31888277.560666192</v>
      </c>
      <c r="H77" s="642">
        <f t="shared" si="358"/>
        <v>34565634.928359397</v>
      </c>
      <c r="I77" s="642">
        <f t="shared" si="358"/>
        <v>37263585.686962709</v>
      </c>
      <c r="J77" s="642">
        <f t="shared" si="358"/>
        <v>39983375.03140007</v>
      </c>
      <c r="K77" s="642">
        <f t="shared" si="358"/>
        <v>42726434.935834005</v>
      </c>
      <c r="L77" s="642">
        <f t="shared" si="358"/>
        <v>45494412.170551419</v>
      </c>
      <c r="M77" s="642">
        <f t="shared" si="358"/>
        <v>48289200.521382257</v>
      </c>
    </row>
    <row r="78" spans="1:61" outlineLevel="1" x14ac:dyDescent="0.25">
      <c r="A78" s="1" t="s">
        <v>373</v>
      </c>
      <c r="B78" s="639">
        <f>N73</f>
        <v>3755413.4240907119</v>
      </c>
      <c r="C78" s="639">
        <f t="shared" ref="C78:M78" si="359">O73</f>
        <v>4273027.3575290814</v>
      </c>
      <c r="D78" s="639">
        <f t="shared" si="359"/>
        <v>4793925.151847017</v>
      </c>
      <c r="E78" s="639">
        <f t="shared" si="359"/>
        <v>5318230.6234339401</v>
      </c>
      <c r="F78" s="639">
        <f t="shared" si="359"/>
        <v>5846086.1611376777</v>
      </c>
      <c r="G78" s="639">
        <f t="shared" si="359"/>
        <v>6377655.5121332388</v>
      </c>
      <c r="H78" s="639">
        <f t="shared" si="359"/>
        <v>6913126.9856718797</v>
      </c>
      <c r="I78" s="639">
        <f t="shared" si="359"/>
        <v>7452717.1373925423</v>
      </c>
      <c r="J78" s="639">
        <f t="shared" si="359"/>
        <v>7996675.0062800143</v>
      </c>
      <c r="K78" s="639">
        <f t="shared" si="359"/>
        <v>8545286.9871668015</v>
      </c>
      <c r="L78" s="639">
        <f t="shared" si="359"/>
        <v>9098882.4341102839</v>
      </c>
      <c r="M78" s="639">
        <f t="shared" si="359"/>
        <v>9657840.1042764522</v>
      </c>
    </row>
    <row r="79" spans="1:61" outlineLevel="1" x14ac:dyDescent="0.25">
      <c r="B79" s="639"/>
      <c r="C79" s="639"/>
      <c r="D79" s="639"/>
      <c r="E79" s="639"/>
      <c r="F79" s="639"/>
      <c r="G79" s="639"/>
      <c r="H79" s="639"/>
      <c r="I79" s="639"/>
      <c r="J79" s="639"/>
      <c r="K79" s="639"/>
      <c r="L79" s="639"/>
      <c r="M79" s="639"/>
    </row>
    <row r="80" spans="1:61" outlineLevel="1" x14ac:dyDescent="0.25">
      <c r="A80" s="204" t="s">
        <v>375</v>
      </c>
      <c r="B80" s="643">
        <v>44927</v>
      </c>
      <c r="C80" s="643">
        <v>44958</v>
      </c>
      <c r="D80" s="643">
        <v>44986</v>
      </c>
      <c r="E80" s="643">
        <v>45017</v>
      </c>
      <c r="F80" s="643">
        <v>45047</v>
      </c>
      <c r="G80" s="643">
        <v>45078</v>
      </c>
      <c r="H80" s="643">
        <v>45108</v>
      </c>
      <c r="I80" s="643">
        <v>45139</v>
      </c>
      <c r="J80" s="643">
        <v>45170</v>
      </c>
      <c r="K80" s="643">
        <v>45200</v>
      </c>
      <c r="L80" s="643">
        <v>45231</v>
      </c>
      <c r="M80" s="643">
        <v>45261</v>
      </c>
    </row>
    <row r="81" spans="1:61" outlineLevel="1" x14ac:dyDescent="0.25">
      <c r="A81" s="1" t="s">
        <v>371</v>
      </c>
      <c r="B81" s="639">
        <f>Z71</f>
        <v>4079530.1588745788</v>
      </c>
      <c r="C81" s="639">
        <f t="shared" ref="C81:M81" si="360">AA71</f>
        <v>4117358.8496148284</v>
      </c>
      <c r="D81" s="639">
        <f t="shared" si="360"/>
        <v>4158082.2253039279</v>
      </c>
      <c r="E81" s="639">
        <f t="shared" si="360"/>
        <v>4202134.4886842044</v>
      </c>
      <c r="F81" s="639">
        <f t="shared" si="360"/>
        <v>4250014.972909335</v>
      </c>
      <c r="G81" s="639">
        <f t="shared" si="360"/>
        <v>4302297.9111060472</v>
      </c>
      <c r="H81" s="639">
        <f t="shared" si="360"/>
        <v>4359643.6713700797</v>
      </c>
      <c r="I81" s="639">
        <f t="shared" si="360"/>
        <v>4422811.677011529</v>
      </c>
      <c r="J81" s="639">
        <f t="shared" si="360"/>
        <v>4492675.264837008</v>
      </c>
      <c r="K81" s="639">
        <f t="shared" si="360"/>
        <v>4570238.7721741218</v>
      </c>
      <c r="L81" s="639">
        <f t="shared" si="360"/>
        <v>4656657.1869496154</v>
      </c>
      <c r="M81" s="639">
        <f t="shared" si="360"/>
        <v>4753258.7452792451</v>
      </c>
    </row>
    <row r="82" spans="1:61" s="2" customFormat="1" outlineLevel="1" x14ac:dyDescent="0.25">
      <c r="A82" s="197" t="s">
        <v>372</v>
      </c>
      <c r="B82" s="642">
        <f>Z72</f>
        <v>52348333.029462464</v>
      </c>
      <c r="C82" s="642">
        <f t="shared" ref="C82:M82" si="361">AA72</f>
        <v>56445105.084829211</v>
      </c>
      <c r="D82" s="642">
        <f t="shared" si="361"/>
        <v>60582396.899006628</v>
      </c>
      <c r="E82" s="642">
        <f t="shared" si="361"/>
        <v>64763520.715247415</v>
      </c>
      <c r="F82" s="642">
        <f t="shared" si="361"/>
        <v>68992285.613292217</v>
      </c>
      <c r="G82" s="642">
        <f t="shared" si="361"/>
        <v>73273072.0348427</v>
      </c>
      <c r="H82" s="642">
        <f t="shared" si="361"/>
        <v>77610917.487855956</v>
      </c>
      <c r="I82" s="642">
        <f t="shared" si="361"/>
        <v>82011615.106482431</v>
      </c>
      <c r="J82" s="642">
        <f t="shared" si="361"/>
        <v>86481826.994995251</v>
      </c>
      <c r="K82" s="642">
        <f t="shared" si="361"/>
        <v>91029214.573308498</v>
      </c>
      <c r="L82" s="642">
        <f t="shared" si="361"/>
        <v>95662588.474323377</v>
      </c>
      <c r="M82" s="642">
        <f t="shared" si="361"/>
        <v>100392080.92587622</v>
      </c>
    </row>
    <row r="83" spans="1:61" outlineLevel="1" x14ac:dyDescent="0.25">
      <c r="A83" s="1" t="s">
        <v>373</v>
      </c>
      <c r="B83" s="639">
        <f>Z73</f>
        <v>10469666.605892494</v>
      </c>
      <c r="C83" s="639">
        <f t="shared" ref="C83:M83" si="362">AA73</f>
        <v>11289021.016965844</v>
      </c>
      <c r="D83" s="639">
        <f t="shared" si="362"/>
        <v>12116479.379801326</v>
      </c>
      <c r="E83" s="639">
        <f t="shared" si="362"/>
        <v>12952704.143049484</v>
      </c>
      <c r="F83" s="639">
        <f t="shared" si="362"/>
        <v>13798457.122658445</v>
      </c>
      <c r="G83" s="639">
        <f t="shared" si="362"/>
        <v>14654614.406968541</v>
      </c>
      <c r="H83" s="639">
        <f t="shared" si="362"/>
        <v>15522183.497571193</v>
      </c>
      <c r="I83" s="639">
        <f t="shared" si="362"/>
        <v>16402323.021296486</v>
      </c>
      <c r="J83" s="639">
        <f t="shared" si="362"/>
        <v>17296365.39899905</v>
      </c>
      <c r="K83" s="639">
        <f t="shared" si="362"/>
        <v>18205842.914661702</v>
      </c>
      <c r="L83" s="639">
        <f t="shared" si="362"/>
        <v>19132517.694864675</v>
      </c>
      <c r="M83" s="639">
        <f t="shared" si="362"/>
        <v>20078416.185175244</v>
      </c>
    </row>
    <row r="84" spans="1:61" outlineLevel="1" x14ac:dyDescent="0.25">
      <c r="B84" s="639"/>
      <c r="C84" s="639"/>
      <c r="D84" s="639"/>
      <c r="E84" s="639"/>
      <c r="F84" s="639"/>
      <c r="G84" s="639"/>
      <c r="H84" s="639"/>
      <c r="I84" s="639"/>
      <c r="J84" s="639"/>
      <c r="K84" s="639"/>
      <c r="L84" s="639"/>
      <c r="M84" s="639"/>
    </row>
    <row r="85" spans="1:61" outlineLevel="1" x14ac:dyDescent="0.25">
      <c r="A85" s="202" t="s">
        <v>388</v>
      </c>
      <c r="B85" s="644">
        <v>45292</v>
      </c>
      <c r="C85" s="644">
        <v>45323</v>
      </c>
      <c r="D85" s="644">
        <v>45352</v>
      </c>
      <c r="E85" s="644">
        <v>45383</v>
      </c>
      <c r="F85" s="644">
        <v>45413</v>
      </c>
      <c r="G85" s="644">
        <v>45444</v>
      </c>
      <c r="H85" s="644">
        <v>45474</v>
      </c>
      <c r="I85" s="644">
        <v>45505</v>
      </c>
      <c r="J85" s="644">
        <v>45536</v>
      </c>
      <c r="K85" s="644">
        <v>45566</v>
      </c>
      <c r="L85" s="644">
        <v>45597</v>
      </c>
      <c r="M85" s="644">
        <v>45627</v>
      </c>
    </row>
    <row r="86" spans="1:61" outlineLevel="1" x14ac:dyDescent="0.25">
      <c r="A86" s="1" t="s">
        <v>371</v>
      </c>
      <c r="B86" s="639">
        <f>AL71</f>
        <v>5606508.7201623814</v>
      </c>
      <c r="C86" s="639">
        <f t="shared" ref="C86:M86" si="363">AM71</f>
        <v>5731994.2591458634</v>
      </c>
      <c r="D86" s="639">
        <f t="shared" si="363"/>
        <v>5872967.0865822434</v>
      </c>
      <c r="E86" s="639">
        <f t="shared" si="363"/>
        <v>6031975.666989455</v>
      </c>
      <c r="F86" s="639">
        <f t="shared" si="363"/>
        <v>6211275.7420631228</v>
      </c>
      <c r="G86" s="639">
        <f t="shared" si="363"/>
        <v>6414135.2860032162</v>
      </c>
      <c r="H86" s="639">
        <f t="shared" si="363"/>
        <v>6644088.219139698</v>
      </c>
      <c r="I86" s="639">
        <f t="shared" si="363"/>
        <v>6905198.5498520276</v>
      </c>
      <c r="J86" s="639">
        <f t="shared" si="363"/>
        <v>7202139.8877765825</v>
      </c>
      <c r="K86" s="639">
        <f t="shared" si="363"/>
        <v>7540286.883995194</v>
      </c>
      <c r="L86" s="639">
        <f t="shared" si="363"/>
        <v>7925820.3872519732</v>
      </c>
      <c r="M86" s="639">
        <f t="shared" si="363"/>
        <v>8365848.3736026445</v>
      </c>
    </row>
    <row r="87" spans="1:61" s="2" customFormat="1" outlineLevel="1" x14ac:dyDescent="0.25">
      <c r="A87" s="197" t="s">
        <v>372</v>
      </c>
      <c r="B87" s="642">
        <f>AL72</f>
        <v>105970557.10243779</v>
      </c>
      <c r="C87" s="642">
        <f t="shared" ref="C87:M87" si="364">AM72</f>
        <v>111673891.39028794</v>
      </c>
      <c r="D87" s="642">
        <f t="shared" si="364"/>
        <v>117517493.64143726</v>
      </c>
      <c r="E87" s="642">
        <f t="shared" si="364"/>
        <v>123519309.43009178</v>
      </c>
      <c r="F87" s="642">
        <f t="shared" si="364"/>
        <v>129699528.7934446</v>
      </c>
      <c r="G87" s="642">
        <f t="shared" si="364"/>
        <v>136081593.40301779</v>
      </c>
      <c r="H87" s="642">
        <f t="shared" si="364"/>
        <v>142692461.1810618</v>
      </c>
      <c r="I87" s="642">
        <f t="shared" si="364"/>
        <v>149563133.73816457</v>
      </c>
      <c r="J87" s="642">
        <f t="shared" si="364"/>
        <v>156729262.92650229</v>
      </c>
      <c r="K87" s="642">
        <f t="shared" si="364"/>
        <v>164231848.3760775</v>
      </c>
      <c r="L87" s="642">
        <f t="shared" si="364"/>
        <v>172118039.66139323</v>
      </c>
      <c r="M87" s="642">
        <f t="shared" si="364"/>
        <v>180442058.79312783</v>
      </c>
    </row>
    <row r="88" spans="1:61" outlineLevel="1" x14ac:dyDescent="0.25">
      <c r="A88" s="1" t="s">
        <v>373</v>
      </c>
      <c r="B88" s="639">
        <f>AL73</f>
        <v>21194111.42048756</v>
      </c>
      <c r="C88" s="639">
        <f t="shared" ref="C88:M88" si="365">AM73</f>
        <v>22334778.27805759</v>
      </c>
      <c r="D88" s="639">
        <f t="shared" si="365"/>
        <v>23503498.728287455</v>
      </c>
      <c r="E88" s="639">
        <f t="shared" si="365"/>
        <v>24703861.886018358</v>
      </c>
      <c r="F88" s="639">
        <f t="shared" si="365"/>
        <v>25939905.758688923</v>
      </c>
      <c r="G88" s="639">
        <f t="shared" si="365"/>
        <v>27216318.68060356</v>
      </c>
      <c r="H88" s="639">
        <f t="shared" si="365"/>
        <v>28538492.236212362</v>
      </c>
      <c r="I88" s="639">
        <f t="shared" si="365"/>
        <v>29912626.747632917</v>
      </c>
      <c r="J88" s="639">
        <f t="shared" si="365"/>
        <v>31345852.58530046</v>
      </c>
      <c r="K88" s="639">
        <f t="shared" si="365"/>
        <v>32846369.675215501</v>
      </c>
      <c r="L88" s="639">
        <f t="shared" si="365"/>
        <v>34423607.932278648</v>
      </c>
      <c r="M88" s="639">
        <f t="shared" si="365"/>
        <v>36088411.758625567</v>
      </c>
    </row>
    <row r="90" spans="1:61" x14ac:dyDescent="0.25">
      <c r="A90" s="9" t="s">
        <v>387</v>
      </c>
      <c r="B90" s="62">
        <v>43831</v>
      </c>
      <c r="C90" s="62">
        <v>43862</v>
      </c>
      <c r="D90" s="62">
        <v>43891</v>
      </c>
      <c r="E90" s="62">
        <v>43922</v>
      </c>
      <c r="F90" s="62">
        <v>43952</v>
      </c>
      <c r="G90" s="62">
        <v>43983</v>
      </c>
      <c r="H90" s="62">
        <v>44013</v>
      </c>
      <c r="I90" s="62">
        <v>44044</v>
      </c>
      <c r="J90" s="62">
        <v>44075</v>
      </c>
      <c r="K90" s="62">
        <v>44105</v>
      </c>
      <c r="L90" s="62">
        <v>44136</v>
      </c>
      <c r="M90" s="62">
        <v>44166</v>
      </c>
    </row>
    <row r="91" spans="1:61" outlineLevel="1" x14ac:dyDescent="0.25">
      <c r="A91" s="217">
        <v>2020</v>
      </c>
      <c r="B91" s="62">
        <v>43831</v>
      </c>
      <c r="C91" s="62">
        <v>43862</v>
      </c>
      <c r="D91" s="62">
        <v>43891</v>
      </c>
      <c r="E91" s="62">
        <v>43922</v>
      </c>
      <c r="F91" s="62">
        <v>43952</v>
      </c>
      <c r="G91" s="62">
        <v>43983</v>
      </c>
      <c r="H91" s="62">
        <v>44013</v>
      </c>
      <c r="I91" s="62">
        <v>44044</v>
      </c>
      <c r="J91" s="62">
        <v>44075</v>
      </c>
      <c r="K91" s="62">
        <v>44105</v>
      </c>
      <c r="L91" s="62">
        <v>44136</v>
      </c>
      <c r="M91" s="62">
        <v>44166</v>
      </c>
      <c r="N91" s="201">
        <v>44197</v>
      </c>
      <c r="O91" s="201">
        <v>44228</v>
      </c>
      <c r="P91" s="201">
        <v>44256</v>
      </c>
      <c r="Q91" s="201">
        <v>44287</v>
      </c>
      <c r="R91" s="201">
        <v>44317</v>
      </c>
      <c r="S91" s="201">
        <v>44348</v>
      </c>
      <c r="T91" s="201">
        <v>44378</v>
      </c>
      <c r="U91" s="201">
        <v>44409</v>
      </c>
      <c r="V91" s="201">
        <v>44440</v>
      </c>
      <c r="W91" s="201">
        <v>44470</v>
      </c>
      <c r="X91" s="201">
        <v>44501</v>
      </c>
      <c r="Y91" s="201">
        <v>44531</v>
      </c>
      <c r="Z91" s="207">
        <v>44562</v>
      </c>
      <c r="AA91" s="207">
        <v>44593</v>
      </c>
      <c r="AB91" s="207">
        <v>44621</v>
      </c>
      <c r="AC91" s="207">
        <v>44652</v>
      </c>
      <c r="AD91" s="207">
        <v>44682</v>
      </c>
      <c r="AE91" s="207">
        <v>44713</v>
      </c>
      <c r="AF91" s="207">
        <v>44743</v>
      </c>
      <c r="AG91" s="207">
        <v>44774</v>
      </c>
      <c r="AH91" s="207">
        <v>44805</v>
      </c>
      <c r="AI91" s="207">
        <v>44835</v>
      </c>
      <c r="AJ91" s="207">
        <v>44866</v>
      </c>
      <c r="AK91" s="207">
        <v>44896</v>
      </c>
      <c r="AL91" s="205">
        <v>44927</v>
      </c>
      <c r="AM91" s="205">
        <v>44958</v>
      </c>
      <c r="AN91" s="205">
        <v>44986</v>
      </c>
      <c r="AO91" s="205">
        <v>45017</v>
      </c>
      <c r="AP91" s="205">
        <v>45047</v>
      </c>
      <c r="AQ91" s="205">
        <v>45078</v>
      </c>
      <c r="AR91" s="205">
        <v>45108</v>
      </c>
      <c r="AS91" s="205">
        <v>45139</v>
      </c>
      <c r="AT91" s="205">
        <v>45170</v>
      </c>
      <c r="AU91" s="205">
        <v>45200</v>
      </c>
      <c r="AV91" s="205">
        <v>45231</v>
      </c>
      <c r="AW91" s="205">
        <v>45261</v>
      </c>
      <c r="AX91" s="203">
        <v>45292</v>
      </c>
      <c r="AY91" s="203">
        <v>45323</v>
      </c>
      <c r="AZ91" s="203">
        <v>45352</v>
      </c>
      <c r="BA91" s="203">
        <v>45383</v>
      </c>
      <c r="BB91" s="203">
        <v>45413</v>
      </c>
      <c r="BC91" s="203">
        <v>45444</v>
      </c>
      <c r="BD91" s="203">
        <v>45474</v>
      </c>
      <c r="BE91" s="203">
        <v>45505</v>
      </c>
      <c r="BF91" s="203">
        <v>45536</v>
      </c>
      <c r="BG91" s="203">
        <v>45566</v>
      </c>
      <c r="BH91" s="203">
        <v>45597</v>
      </c>
      <c r="BI91" s="203">
        <v>45627</v>
      </c>
    </row>
    <row r="92" spans="1:61" outlineLevel="1" x14ac:dyDescent="0.25">
      <c r="A92" s="1" t="s">
        <v>386</v>
      </c>
      <c r="B92" s="106">
        <f>ROUND(B61*$H$12,0)</f>
        <v>0</v>
      </c>
      <c r="C92" s="106">
        <f>ROUND(C61*$H$12,0)</f>
        <v>0</v>
      </c>
      <c r="D92" s="106">
        <f>ROUND(D61*$H$12,0)</f>
        <v>1</v>
      </c>
      <c r="E92" s="106">
        <f>ROUND(E61*$H$12,0)</f>
        <v>1</v>
      </c>
      <c r="F92" s="106">
        <f>ROUND(F61*$H$12,0)</f>
        <v>1</v>
      </c>
      <c r="G92" s="106">
        <f>ROUND(G61*$H$12,0)</f>
        <v>2</v>
      </c>
      <c r="H92" s="106">
        <f>ROUND(H61*$H$12,0)</f>
        <v>64</v>
      </c>
      <c r="I92" s="106">
        <f>ROUND(I61*$H$12,0)</f>
        <v>144</v>
      </c>
      <c r="J92" s="106">
        <f>ROUND(J61*$H$12,0)</f>
        <v>250</v>
      </c>
      <c r="K92" s="106">
        <f>ROUND(K61*$H$12,0)</f>
        <v>388</v>
      </c>
      <c r="L92" s="106">
        <f>ROUND(L61*$H$12,0)</f>
        <v>567</v>
      </c>
      <c r="M92" s="106">
        <f>ROUND(M61*$H$12,0)</f>
        <v>801</v>
      </c>
      <c r="N92" s="212">
        <f>B95</f>
        <v>2044.2924648639403</v>
      </c>
      <c r="O92" s="212">
        <f t="shared" ref="O92:Y92" si="366">C95</f>
        <v>3294.6680016797727</v>
      </c>
      <c r="P92" s="212">
        <f t="shared" si="366"/>
        <v>4551.9496292312033</v>
      </c>
      <c r="Q92" s="212">
        <f t="shared" si="366"/>
        <v>5816.2513542722809</v>
      </c>
      <c r="R92" s="212">
        <f t="shared" si="366"/>
        <v>7087.7042845701599</v>
      </c>
      <c r="S92" s="212">
        <f t="shared" si="366"/>
        <v>8366.4591940570663</v>
      </c>
      <c r="T92" s="212">
        <f t="shared" si="366"/>
        <v>9652.689472755068</v>
      </c>
      <c r="U92" s="212">
        <f t="shared" si="366"/>
        <v>10946.594519189528</v>
      </c>
      <c r="V92" s="212">
        <f>J95</f>
        <v>12248.40364166463</v>
      </c>
      <c r="W92" s="212">
        <f t="shared" si="366"/>
        <v>13558.604789123925</v>
      </c>
      <c r="X92" s="212">
        <f t="shared" si="366"/>
        <v>14877.311729708752</v>
      </c>
      <c r="Y92" s="212">
        <f t="shared" si="366"/>
        <v>16204.878425531648</v>
      </c>
      <c r="Z92" s="117">
        <f>B98</f>
        <v>18777.067120453557</v>
      </c>
      <c r="AA92" s="117">
        <f t="shared" ref="AA92:AK92" si="367">C98</f>
        <v>21365.136787645406</v>
      </c>
      <c r="AB92" s="117">
        <f t="shared" si="367"/>
        <v>23969.625759235085</v>
      </c>
      <c r="AC92" s="117">
        <f t="shared" si="367"/>
        <v>26591.153117169699</v>
      </c>
      <c r="AD92" s="117">
        <f t="shared" si="367"/>
        <v>29230.430805688389</v>
      </c>
      <c r="AE92" s="117">
        <f t="shared" si="367"/>
        <v>31888.277560666193</v>
      </c>
      <c r="AF92" s="117">
        <f t="shared" si="367"/>
        <v>34565.634928359395</v>
      </c>
      <c r="AG92" s="117">
        <f t="shared" si="367"/>
        <v>37263.58568696271</v>
      </c>
      <c r="AH92" s="117">
        <f t="shared" si="367"/>
        <v>39983.375031400072</v>
      </c>
      <c r="AI92" s="117">
        <f t="shared" si="367"/>
        <v>42726.434935834004</v>
      </c>
      <c r="AJ92" s="117">
        <f t="shared" si="367"/>
        <v>45494.412170551419</v>
      </c>
      <c r="AK92" s="117">
        <f t="shared" si="367"/>
        <v>48289.200521382256</v>
      </c>
      <c r="AL92" s="117">
        <f>B101</f>
        <v>52348.333029462468</v>
      </c>
      <c r="AM92" s="117">
        <f t="shared" ref="AM92:AW92" si="368">C101</f>
        <v>56445.105084829214</v>
      </c>
      <c r="AN92" s="117">
        <f t="shared" si="368"/>
        <v>60582.396899006628</v>
      </c>
      <c r="AO92" s="117">
        <f t="shared" si="368"/>
        <v>64763.520715247418</v>
      </c>
      <c r="AP92" s="117">
        <f t="shared" si="368"/>
        <v>68992.285613292217</v>
      </c>
      <c r="AQ92" s="117">
        <f t="shared" si="368"/>
        <v>73273.072034842698</v>
      </c>
      <c r="AR92" s="117">
        <f t="shared" si="368"/>
        <v>77610.917487855957</v>
      </c>
      <c r="AS92" s="117">
        <f t="shared" si="368"/>
        <v>82011.615106482437</v>
      </c>
      <c r="AT92" s="117">
        <f t="shared" si="368"/>
        <v>86481.826994995252</v>
      </c>
      <c r="AU92" s="117">
        <f t="shared" si="368"/>
        <v>91029.214573308505</v>
      </c>
      <c r="AV92" s="117">
        <f t="shared" si="368"/>
        <v>95662.588474323376</v>
      </c>
      <c r="AW92" s="117">
        <f t="shared" si="368"/>
        <v>100392.08092587622</v>
      </c>
      <c r="AX92" s="117">
        <f>B104</f>
        <v>105970.5571024378</v>
      </c>
      <c r="AY92" s="117">
        <f t="shared" ref="AY92:BI92" si="369">C104</f>
        <v>111673.89139028794</v>
      </c>
      <c r="AZ92" s="117">
        <f t="shared" si="369"/>
        <v>117517.49364143726</v>
      </c>
      <c r="BA92" s="117">
        <f t="shared" si="369"/>
        <v>123519.30943009179</v>
      </c>
      <c r="BB92" s="117">
        <f t="shared" si="369"/>
        <v>129699.52879344461</v>
      </c>
      <c r="BC92" s="117">
        <f t="shared" si="369"/>
        <v>136081.59340301779</v>
      </c>
      <c r="BD92" s="117">
        <f t="shared" si="369"/>
        <v>142692.46118106181</v>
      </c>
      <c r="BE92" s="117">
        <f t="shared" si="369"/>
        <v>149563.13373816459</v>
      </c>
      <c r="BF92" s="117">
        <f t="shared" si="369"/>
        <v>156729.2629265023</v>
      </c>
      <c r="BG92" s="117">
        <f t="shared" si="369"/>
        <v>164231.84837607751</v>
      </c>
      <c r="BH92" s="117">
        <f t="shared" si="369"/>
        <v>172118.03966139324</v>
      </c>
      <c r="BI92" s="117">
        <f t="shared" si="369"/>
        <v>180442.05879312783</v>
      </c>
    </row>
    <row r="93" spans="1:61" outlineLevel="1" x14ac:dyDescent="0.25"/>
    <row r="94" spans="1:61" outlineLevel="1" x14ac:dyDescent="0.25">
      <c r="A94" s="216">
        <v>2021</v>
      </c>
      <c r="B94" s="201">
        <v>44197</v>
      </c>
      <c r="C94" s="201">
        <v>44228</v>
      </c>
      <c r="D94" s="201">
        <v>44256</v>
      </c>
      <c r="E94" s="201">
        <v>44287</v>
      </c>
      <c r="F94" s="201">
        <v>44317</v>
      </c>
      <c r="G94" s="201">
        <v>44348</v>
      </c>
      <c r="H94" s="201">
        <v>44378</v>
      </c>
      <c r="I94" s="201">
        <v>44409</v>
      </c>
      <c r="J94" s="201">
        <v>44440</v>
      </c>
      <c r="K94" s="201">
        <v>44470</v>
      </c>
      <c r="L94" s="201">
        <v>44501</v>
      </c>
      <c r="M94" s="201">
        <v>44531</v>
      </c>
    </row>
    <row r="95" spans="1:61" s="151" customFormat="1" outlineLevel="1" x14ac:dyDescent="0.25">
      <c r="A95" s="1" t="s">
        <v>389</v>
      </c>
      <c r="B95" s="212">
        <f>B72*$H$12</f>
        <v>2044.2924648639403</v>
      </c>
      <c r="C95" s="212">
        <f>C72*$H$12</f>
        <v>3294.6680016797727</v>
      </c>
      <c r="D95" s="212">
        <f>D72*$H$12</f>
        <v>4551.9496292312033</v>
      </c>
      <c r="E95" s="212">
        <f>E72*$H$12</f>
        <v>5816.2513542722809</v>
      </c>
      <c r="F95" s="212">
        <f>F72*$H$12</f>
        <v>7087.7042845701599</v>
      </c>
      <c r="G95" s="212">
        <f>G72*$H$12</f>
        <v>8366.4591940570663</v>
      </c>
      <c r="H95" s="212">
        <f>H72*$H$12</f>
        <v>9652.689472755068</v>
      </c>
      <c r="I95" s="212">
        <f>I72*$H$12</f>
        <v>10946.594519189528</v>
      </c>
      <c r="J95" s="212">
        <f>J72*$H$12</f>
        <v>12248.40364166463</v>
      </c>
      <c r="K95" s="212">
        <f>K72*$H$12</f>
        <v>13558.604789123925</v>
      </c>
      <c r="L95" s="212">
        <f>L72*$H$12</f>
        <v>14877.311729708752</v>
      </c>
      <c r="M95" s="212">
        <f>M72*$H$12</f>
        <v>16204.878425531648</v>
      </c>
    </row>
    <row r="96" spans="1:61" outlineLevel="1" x14ac:dyDescent="0.25"/>
    <row r="97" spans="1:13" outlineLevel="1" x14ac:dyDescent="0.25">
      <c r="A97" s="215">
        <v>2022</v>
      </c>
      <c r="B97" s="207">
        <v>44562</v>
      </c>
      <c r="C97" s="207">
        <v>44593</v>
      </c>
      <c r="D97" s="207">
        <v>44621</v>
      </c>
      <c r="E97" s="207">
        <v>44652</v>
      </c>
      <c r="F97" s="207">
        <v>44682</v>
      </c>
      <c r="G97" s="207">
        <v>44713</v>
      </c>
      <c r="H97" s="207">
        <v>44743</v>
      </c>
      <c r="I97" s="207">
        <v>44774</v>
      </c>
      <c r="J97" s="207">
        <v>44805</v>
      </c>
      <c r="K97" s="207">
        <v>44835</v>
      </c>
      <c r="L97" s="207">
        <v>44866</v>
      </c>
      <c r="M97" s="207">
        <v>44896</v>
      </c>
    </row>
    <row r="98" spans="1:13" outlineLevel="1" x14ac:dyDescent="0.25">
      <c r="A98" s="210" t="s">
        <v>390</v>
      </c>
      <c r="B98" s="106">
        <f>B77*$H$12</f>
        <v>18777.067120453557</v>
      </c>
      <c r="C98" s="106">
        <f>C77*$H$12</f>
        <v>21365.136787645406</v>
      </c>
      <c r="D98" s="106">
        <f>D77*$H$12</f>
        <v>23969.625759235085</v>
      </c>
      <c r="E98" s="106">
        <f>E77*$H$12</f>
        <v>26591.153117169699</v>
      </c>
      <c r="F98" s="106">
        <f>F77*$H$12</f>
        <v>29230.430805688389</v>
      </c>
      <c r="G98" s="106">
        <f>G77*$H$12</f>
        <v>31888.277560666193</v>
      </c>
      <c r="H98" s="106">
        <f>H77*$H$12</f>
        <v>34565.634928359395</v>
      </c>
      <c r="I98" s="106">
        <f>I77*$H$12</f>
        <v>37263.58568696271</v>
      </c>
      <c r="J98" s="106">
        <f>J77*$H$12</f>
        <v>39983.375031400072</v>
      </c>
      <c r="K98" s="106">
        <f>K77*$H$12</f>
        <v>42726.434935834004</v>
      </c>
      <c r="L98" s="106">
        <f>L77*$H$12</f>
        <v>45494.412170551419</v>
      </c>
      <c r="M98" s="106">
        <f>M77*$H$12</f>
        <v>48289.200521382256</v>
      </c>
    </row>
    <row r="99" spans="1:13" outlineLevel="1" x14ac:dyDescent="0.25"/>
    <row r="100" spans="1:13" outlineLevel="1" x14ac:dyDescent="0.25">
      <c r="A100" s="214">
        <v>2023</v>
      </c>
      <c r="B100" s="205">
        <v>44927</v>
      </c>
      <c r="C100" s="205">
        <v>44958</v>
      </c>
      <c r="D100" s="205">
        <v>44986</v>
      </c>
      <c r="E100" s="205">
        <v>45017</v>
      </c>
      <c r="F100" s="205">
        <v>45047</v>
      </c>
      <c r="G100" s="205">
        <v>45078</v>
      </c>
      <c r="H100" s="205">
        <v>45108</v>
      </c>
      <c r="I100" s="205">
        <v>45139</v>
      </c>
      <c r="J100" s="205">
        <v>45170</v>
      </c>
      <c r="K100" s="205">
        <v>45200</v>
      </c>
      <c r="L100" s="205">
        <v>45231</v>
      </c>
      <c r="M100" s="205">
        <v>45261</v>
      </c>
    </row>
    <row r="101" spans="1:13" outlineLevel="1" x14ac:dyDescent="0.25">
      <c r="A101" s="210" t="s">
        <v>391</v>
      </c>
      <c r="B101" s="106">
        <f>B82*$H$12</f>
        <v>52348.333029462468</v>
      </c>
      <c r="C101" s="106">
        <f>C82*$H$12</f>
        <v>56445.105084829214</v>
      </c>
      <c r="D101" s="106">
        <f>D82*$H$12</f>
        <v>60582.396899006628</v>
      </c>
      <c r="E101" s="106">
        <f>E82*$H$12</f>
        <v>64763.520715247418</v>
      </c>
      <c r="F101" s="106">
        <f>F82*$H$12</f>
        <v>68992.285613292217</v>
      </c>
      <c r="G101" s="106">
        <f>G82*$H$12</f>
        <v>73273.072034842698</v>
      </c>
      <c r="H101" s="106">
        <f>H82*$H$12</f>
        <v>77610.917487855957</v>
      </c>
      <c r="I101" s="106">
        <f>I82*$H$12</f>
        <v>82011.615106482437</v>
      </c>
      <c r="J101" s="106">
        <f>J82*$H$12</f>
        <v>86481.826994995252</v>
      </c>
      <c r="K101" s="106">
        <f>K82*$H$12</f>
        <v>91029.214573308505</v>
      </c>
      <c r="L101" s="106">
        <f>L82*$H$12</f>
        <v>95662.588474323376</v>
      </c>
      <c r="M101" s="106">
        <f>M82*$H$12</f>
        <v>100392.08092587622</v>
      </c>
    </row>
    <row r="102" spans="1:13" outlineLevel="1" x14ac:dyDescent="0.25"/>
    <row r="103" spans="1:13" outlineLevel="1" x14ac:dyDescent="0.25">
      <c r="A103" s="213">
        <v>2024</v>
      </c>
      <c r="B103" s="203">
        <v>45292</v>
      </c>
      <c r="C103" s="203">
        <v>45323</v>
      </c>
      <c r="D103" s="203">
        <v>45352</v>
      </c>
      <c r="E103" s="203">
        <v>45383</v>
      </c>
      <c r="F103" s="203">
        <v>45413</v>
      </c>
      <c r="G103" s="203">
        <v>45444</v>
      </c>
      <c r="H103" s="203">
        <v>45474</v>
      </c>
      <c r="I103" s="203">
        <v>45505</v>
      </c>
      <c r="J103" s="203">
        <v>45536</v>
      </c>
      <c r="K103" s="203">
        <v>45566</v>
      </c>
      <c r="L103" s="203">
        <v>45597</v>
      </c>
      <c r="M103" s="203">
        <v>45627</v>
      </c>
    </row>
    <row r="104" spans="1:13" outlineLevel="1" x14ac:dyDescent="0.25">
      <c r="A104" s="210" t="s">
        <v>392</v>
      </c>
      <c r="B104" s="106">
        <f>B87*$H$12</f>
        <v>105970.5571024378</v>
      </c>
      <c r="C104" s="106">
        <f t="shared" ref="C104:M104" si="370">C87*$H$12</f>
        <v>111673.89139028794</v>
      </c>
      <c r="D104" s="106">
        <f t="shared" si="370"/>
        <v>117517.49364143726</v>
      </c>
      <c r="E104" s="106">
        <f t="shared" si="370"/>
        <v>123519.30943009179</v>
      </c>
      <c r="F104" s="106">
        <f t="shared" si="370"/>
        <v>129699.52879344461</v>
      </c>
      <c r="G104" s="106">
        <f t="shared" si="370"/>
        <v>136081.59340301779</v>
      </c>
      <c r="H104" s="106">
        <f t="shared" si="370"/>
        <v>142692.46118106181</v>
      </c>
      <c r="I104" s="106">
        <f t="shared" si="370"/>
        <v>149563.13373816459</v>
      </c>
      <c r="J104" s="106">
        <f t="shared" si="370"/>
        <v>156729.2629265023</v>
      </c>
      <c r="K104" s="106">
        <f t="shared" si="370"/>
        <v>164231.84837607751</v>
      </c>
      <c r="L104" s="106">
        <f t="shared" si="370"/>
        <v>172118.03966139324</v>
      </c>
      <c r="M104" s="106">
        <f t="shared" si="370"/>
        <v>180442.05879312783</v>
      </c>
    </row>
  </sheetData>
  <dataConsolidate/>
  <mergeCells count="3">
    <mergeCell ref="E3:F3"/>
    <mergeCell ref="A7:B7"/>
    <mergeCell ref="E7:F7"/>
  </mergeCells>
  <conditionalFormatting sqref="B65:BI6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3:BI6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:BI62">
    <cfRule type="colorScale" priority="2">
      <colorScale>
        <cfvo type="min"/>
        <cfvo type="max"/>
        <color rgb="FFFCFCFF"/>
        <color rgb="FF63BE7B"/>
      </colorScale>
    </cfRule>
  </conditionalFormatting>
  <conditionalFormatting sqref="B67:BI67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N41"/>
  <sheetViews>
    <sheetView showGridLines="0" zoomScale="169" workbookViewId="0">
      <pane ySplit="2" topLeftCell="A3" activePane="bottomLeft" state="frozen"/>
      <selection pane="bottomLeft" sqref="A1:XFD1"/>
    </sheetView>
  </sheetViews>
  <sheetFormatPr baseColWidth="10" defaultColWidth="9.1640625" defaultRowHeight="16" outlineLevelRow="1" x14ac:dyDescent="0.25"/>
  <cols>
    <col min="1" max="1" width="21.5" style="1" customWidth="1"/>
    <col min="2" max="2" width="9.1640625" style="1"/>
    <col min="3" max="7" width="12.1640625" style="1" customWidth="1"/>
    <col min="8" max="16384" width="9.1640625" style="1"/>
  </cols>
  <sheetData>
    <row r="1" spans="1:14" s="4" customFormat="1" x14ac:dyDescent="0.25">
      <c r="A1" s="52" t="s">
        <v>151</v>
      </c>
      <c r="C1" s="49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4" s="4" customFormat="1" x14ac:dyDescent="0.25">
      <c r="A2" s="51"/>
      <c r="B2" s="3"/>
      <c r="C2" s="48">
        <v>2020</v>
      </c>
      <c r="D2" s="48">
        <f>C2+1</f>
        <v>2021</v>
      </c>
      <c r="E2" s="48">
        <f t="shared" ref="E2:G2" si="0">D2+1</f>
        <v>2022</v>
      </c>
      <c r="F2" s="48">
        <f t="shared" si="0"/>
        <v>2023</v>
      </c>
      <c r="G2" s="48">
        <f t="shared" si="0"/>
        <v>2024</v>
      </c>
      <c r="H2" s="48"/>
      <c r="I2" s="48"/>
      <c r="J2" s="48"/>
      <c r="K2" s="48"/>
      <c r="L2" s="48"/>
      <c r="M2" s="48"/>
      <c r="N2" s="48"/>
    </row>
    <row r="3" spans="1:14" x14ac:dyDescent="0.25">
      <c r="A3" s="9" t="s">
        <v>152</v>
      </c>
      <c r="B3" s="9"/>
      <c r="C3" s="9"/>
      <c r="D3" s="9"/>
      <c r="E3" s="9"/>
      <c r="F3" s="9"/>
      <c r="G3" s="9"/>
    </row>
    <row r="4" spans="1:14" outlineLevel="1" x14ac:dyDescent="0.25">
      <c r="A4" s="244" t="s">
        <v>56</v>
      </c>
      <c r="B4" s="244"/>
      <c r="C4" s="95">
        <f>IFERROR('Income Statement 2020-2024'!C6/'Income Statement 2020-2024'!C4,0)</f>
        <v>0.87293756765798325</v>
      </c>
      <c r="D4" s="95">
        <f>IFERROR('Income Statement 2020-2024'!D6/'Income Statement 2020-2024'!D4,0)</f>
        <v>0.65921405096984587</v>
      </c>
      <c r="E4" s="95">
        <f>IFERROR('Income Statement 2020-2024'!E6/'Income Statement 2020-2024'!E4,0)</f>
        <v>0.77346233797901398</v>
      </c>
      <c r="F4" s="95">
        <f>IFERROR('Income Statement 2020-2024'!F6/'Income Statement 2020-2024'!F4,0)</f>
        <v>0.78466339720048472</v>
      </c>
      <c r="G4" s="95">
        <f>IFERROR('Income Statement 2020-2024'!G6/'Income Statement 2020-2024'!G4,0)</f>
        <v>0.78713038212612241</v>
      </c>
    </row>
    <row r="5" spans="1:14" outlineLevel="1" x14ac:dyDescent="0.25">
      <c r="A5" s="244" t="s">
        <v>153</v>
      </c>
      <c r="B5" s="244"/>
      <c r="C5" s="95">
        <f>IFERROR('Income Statement 2020-2024'!C23/'Income Statement 2020-2024'!C4,0)</f>
        <v>-3.4237322774720824</v>
      </c>
      <c r="D5" s="95">
        <f>IFERROR('Income Statement 2020-2024'!D23/'Income Statement 2020-2024'!D4,0)</f>
        <v>-2.7697913899394377</v>
      </c>
      <c r="E5" s="95">
        <f>IFERROR('Income Statement 2020-2024'!E23/'Income Statement 2020-2024'!E4,0)</f>
        <v>-9.7424173635299746E-2</v>
      </c>
      <c r="F5" s="95">
        <f>IFERROR('Income Statement 2020-2024'!F23/'Income Statement 2020-2024'!F4,0)</f>
        <v>0.39708486743044241</v>
      </c>
      <c r="G5" s="95">
        <f>IFERROR('Income Statement 2020-2024'!G23/'Income Statement 2020-2024'!G4,0)</f>
        <v>0.650656381770084</v>
      </c>
    </row>
    <row r="6" spans="1:14" outlineLevel="1" x14ac:dyDescent="0.25">
      <c r="A6" s="244" t="s">
        <v>154</v>
      </c>
      <c r="B6" s="244"/>
      <c r="C6" s="95">
        <f>IFERROR('Income Statement 2020-2024'!C30/'Income Statement 2020-2024'!C4,0)</f>
        <v>-3.4237322774720824</v>
      </c>
      <c r="D6" s="95">
        <f>IFERROR('Income Statement 2020-2024'!D30/'Income Statement 2020-2024'!D4,0)</f>
        <v>-2.7697913899394377</v>
      </c>
      <c r="E6" s="95">
        <f>IFERROR('Income Statement 2020-2024'!E30/'Income Statement 2020-2024'!E4,0)</f>
        <v>-9.7424173635299746E-2</v>
      </c>
      <c r="F6" s="95">
        <f>IFERROR('Income Statement 2020-2024'!F30/'Income Statement 2020-2024'!F4,0)</f>
        <v>0.28193025587561416</v>
      </c>
      <c r="G6" s="95">
        <f>IFERROR('Income Statement 2020-2024'!G30/'Income Statement 2020-2024'!G4,0)</f>
        <v>0.46196603105675971</v>
      </c>
    </row>
    <row r="7" spans="1:14" outlineLevel="1" x14ac:dyDescent="0.25">
      <c r="C7" s="95"/>
      <c r="D7" s="95"/>
      <c r="E7" s="95"/>
      <c r="F7" s="95"/>
      <c r="G7" s="95"/>
    </row>
    <row r="9" spans="1:14" x14ac:dyDescent="0.25">
      <c r="A9" s="9" t="s">
        <v>155</v>
      </c>
      <c r="B9" s="9"/>
      <c r="C9" s="9"/>
      <c r="D9" s="9"/>
      <c r="E9" s="9"/>
      <c r="F9" s="9"/>
      <c r="G9" s="9"/>
    </row>
    <row r="10" spans="1:14" outlineLevel="1" x14ac:dyDescent="0.25">
      <c r="A10" s="269" t="s">
        <v>167</v>
      </c>
      <c r="B10" s="269"/>
      <c r="C10" s="97">
        <f>IFERROR('Income Statement 2020-2024'!C4/'Balance Sheet 2020-2024'!C25,0)</f>
        <v>2.648434605999609E-2</v>
      </c>
      <c r="D10" s="97">
        <f>IFERROR('Income Statement 2020-2024'!D4/'Balance Sheet 2020-2024'!D25,0)</f>
        <v>0.15782468315309783</v>
      </c>
      <c r="E10" s="97">
        <f>IFERROR('Income Statement 2020-2024'!E4/'Balance Sheet 2020-2024'!E25,0)</f>
        <v>0.53431145153024584</v>
      </c>
      <c r="F10" s="97">
        <f>IFERROR('Income Statement 2020-2024'!F4/'Balance Sheet 2020-2024'!F25,0)</f>
        <v>0.68706147984742849</v>
      </c>
      <c r="G10" s="97">
        <f>IFERROR('Income Statement 2020-2024'!G4/'Balance Sheet 2020-2024'!G25,0)</f>
        <v>0.84110442071011704</v>
      </c>
    </row>
    <row r="11" spans="1:14" outlineLevel="1" x14ac:dyDescent="0.25">
      <c r="A11" s="269" t="s">
        <v>168</v>
      </c>
      <c r="B11" s="269"/>
      <c r="C11" s="97">
        <f>IFERROR('Income Statement 2020-2024'!C4/('Balance Sheet 2020-2024'!C25-'Balance Sheet 2020-2024'!C31),0)</f>
        <v>2.6542758589865403E-2</v>
      </c>
      <c r="D11" s="97">
        <f>IFERROR('Income Statement 2020-2024'!D4/('Balance Sheet 2020-2024'!D25-'Balance Sheet 2020-2024'!D31),0)</f>
        <v>0.16178880469108595</v>
      </c>
      <c r="E11" s="97">
        <f>IFERROR('Income Statement 2020-2024'!E4/('Balance Sheet 2020-2024'!E25-'Balance Sheet 2020-2024'!E31),0)</f>
        <v>0.56481822760365441</v>
      </c>
      <c r="F11" s="97">
        <f>IFERROR('Income Statement 2020-2024'!F4/('Balance Sheet 2020-2024'!F25-'Balance Sheet 2020-2024'!F31),0)</f>
        <v>0.73542623663452156</v>
      </c>
      <c r="G11" s="97">
        <f>IFERROR('Income Statement 2020-2024'!G4/('Balance Sheet 2020-2024'!G25-'Balance Sheet 2020-2024'!G31),0)</f>
        <v>0.91372301523066668</v>
      </c>
    </row>
    <row r="12" spans="1:14" outlineLevel="1" x14ac:dyDescent="0.25">
      <c r="A12" s="269" t="s">
        <v>158</v>
      </c>
      <c r="B12" s="269"/>
      <c r="C12" s="97">
        <f>IFERROR('Income Statement 2020-2024'!C5/'Balance Sheet 2020-2024'!C20,0)</f>
        <v>40.40985848057273</v>
      </c>
      <c r="D12" s="97">
        <f>IFERROR('Income Statement 2020-2024'!D5/'Balance Sheet 2020-2024'!D20,0)</f>
        <v>40.409858480572737</v>
      </c>
      <c r="E12" s="97">
        <f>IFERROR('Income Statement 2020-2024'!E5/'Balance Sheet 2020-2024'!E20,0)</f>
        <v>40.40985848057273</v>
      </c>
      <c r="F12" s="97">
        <f>IFERROR('Income Statement 2020-2024'!F5/'Balance Sheet 2020-2024'!F20,0)</f>
        <v>40.40985848057273</v>
      </c>
      <c r="G12" s="97">
        <f>IFERROR('Income Statement 2020-2024'!G5/'Balance Sheet 2020-2024'!G20,0)</f>
        <v>40.409858480572737</v>
      </c>
    </row>
    <row r="13" spans="1:14" outlineLevel="1" x14ac:dyDescent="0.25">
      <c r="A13" s="269" t="s">
        <v>159</v>
      </c>
      <c r="B13" s="269"/>
      <c r="C13" s="97">
        <f>IFERROR('Balance Sheet 2020-2024'!C20*365/'Income Statement 2020-2024'!C5,0)</f>
        <v>9.0324493508304613</v>
      </c>
      <c r="D13" s="97">
        <f>IFERROR('Balance Sheet 2020-2024'!D20*365/'Income Statement 2020-2024'!D5,0)</f>
        <v>9.0324493508304613</v>
      </c>
      <c r="E13" s="97">
        <f>IFERROR('Balance Sheet 2020-2024'!E20*365/'Income Statement 2020-2024'!E5,0)</f>
        <v>9.0324493508304613</v>
      </c>
      <c r="F13" s="97">
        <f>IFERROR('Balance Sheet 2020-2024'!F20*365/'Income Statement 2020-2024'!F5,0)</f>
        <v>9.0324493508304613</v>
      </c>
      <c r="G13" s="97">
        <f>IFERROR('Balance Sheet 2020-2024'!G20*365/'Income Statement 2020-2024'!G5,0)</f>
        <v>9.0324493508304613</v>
      </c>
    </row>
    <row r="14" spans="1:14" outlineLevel="1" x14ac:dyDescent="0.25">
      <c r="A14" s="269" t="s">
        <v>160</v>
      </c>
      <c r="B14" s="269"/>
      <c r="C14" s="97">
        <f>IFERROR('Income Statement 2020-2024'!C4/'Balance Sheet 2020-2024'!C18,0)</f>
        <v>0</v>
      </c>
      <c r="D14" s="97">
        <f>IFERROR('Income Statement 2020-2024'!D4/'Balance Sheet 2020-2024'!D18,0)</f>
        <v>0</v>
      </c>
      <c r="E14" s="97">
        <f>IFERROR('Income Statement 2020-2024'!E4/'Balance Sheet 2020-2024'!E18,0)</f>
        <v>0</v>
      </c>
      <c r="F14" s="97">
        <f>IFERROR('Income Statement 2020-2024'!F4/'Balance Sheet 2020-2024'!F18,0)</f>
        <v>0</v>
      </c>
      <c r="G14" s="97">
        <f>IFERROR('Income Statement 2020-2024'!G4/'Balance Sheet 2020-2024'!G18,0)</f>
        <v>0</v>
      </c>
    </row>
    <row r="15" spans="1:14" outlineLevel="1" x14ac:dyDescent="0.25">
      <c r="A15" s="269" t="s">
        <v>161</v>
      </c>
      <c r="B15" s="269"/>
      <c r="C15" s="97">
        <f>IFERROR('Balance Sheet 2020-2024'!C18*365/'Income Statement 2020-2024'!C4,0)</f>
        <v>0</v>
      </c>
      <c r="D15" s="97">
        <f>IFERROR('Balance Sheet 2020-2024'!D18*365/'Income Statement 2020-2024'!D4,0)</f>
        <v>0</v>
      </c>
      <c r="E15" s="97">
        <f>IFERROR('Balance Sheet 2020-2024'!E18*365/'Income Statement 2020-2024'!E4,0)</f>
        <v>0</v>
      </c>
      <c r="F15" s="97">
        <f>IFERROR('Balance Sheet 2020-2024'!F18*365/'Income Statement 2020-2024'!F4,0)</f>
        <v>0</v>
      </c>
      <c r="G15" s="97">
        <f>IFERROR('Balance Sheet 2020-2024'!G18*365/'Income Statement 2020-2024'!G4,0)</f>
        <v>0</v>
      </c>
    </row>
    <row r="16" spans="1:14" outlineLevel="1" x14ac:dyDescent="0.25">
      <c r="A16" s="269" t="s">
        <v>162</v>
      </c>
      <c r="B16" s="269"/>
      <c r="C16" s="97">
        <f>IFERROR('Income Statement 2020-2024'!C5/'Balance Sheet 2020-2024'!C29,0)</f>
        <v>2.2541999999999995</v>
      </c>
      <c r="D16" s="97">
        <f>IFERROR('Income Statement 2020-2024'!D5/'Balance Sheet 2020-2024'!D29,0)</f>
        <v>2.2542</v>
      </c>
      <c r="E16" s="97">
        <f>IFERROR('Income Statement 2020-2024'!E5/'Balance Sheet 2020-2024'!E29,0)</f>
        <v>2.2541999999999995</v>
      </c>
      <c r="F16" s="97">
        <f>IFERROR('Income Statement 2020-2024'!F5/'Balance Sheet 2020-2024'!F29,0)</f>
        <v>2.2541999999999995</v>
      </c>
      <c r="G16" s="97">
        <f>IFERROR('Income Statement 2020-2024'!G5/'Balance Sheet 2020-2024'!G29,0)</f>
        <v>2.2541999999999995</v>
      </c>
    </row>
    <row r="17" spans="1:7" outlineLevel="1" x14ac:dyDescent="0.25">
      <c r="A17" s="269" t="s">
        <v>163</v>
      </c>
      <c r="B17" s="269"/>
      <c r="C17" s="97">
        <f>IFERROR('Balance Sheet 2020-2024'!C29*365/'Income Statement 2020-2024'!C5,0)</f>
        <v>161.91997160855294</v>
      </c>
      <c r="D17" s="97">
        <f>IFERROR('Balance Sheet 2020-2024'!D29*365/'Income Statement 2020-2024'!D5,0)</f>
        <v>161.91997160855294</v>
      </c>
      <c r="E17" s="97">
        <f>IFERROR('Balance Sheet 2020-2024'!E29*365/'Income Statement 2020-2024'!E5,0)</f>
        <v>161.91997160855294</v>
      </c>
      <c r="F17" s="97">
        <f>IFERROR('Balance Sheet 2020-2024'!F29*365/'Income Statement 2020-2024'!F5,0)</f>
        <v>161.91997160855294</v>
      </c>
      <c r="G17" s="97">
        <f>IFERROR('Balance Sheet 2020-2024'!G29*365/'Income Statement 2020-2024'!G5,0)</f>
        <v>161.91997160855294</v>
      </c>
    </row>
    <row r="18" spans="1:7" outlineLevel="1" x14ac:dyDescent="0.25">
      <c r="A18" s="269" t="s">
        <v>164</v>
      </c>
      <c r="B18" s="269"/>
      <c r="C18" s="97">
        <f>C13+C15</f>
        <v>9.0324493508304613</v>
      </c>
      <c r="D18" s="97">
        <f t="shared" ref="D18:G18" si="1">D13+D15</f>
        <v>9.0324493508304613</v>
      </c>
      <c r="E18" s="97">
        <f t="shared" si="1"/>
        <v>9.0324493508304613</v>
      </c>
      <c r="F18" s="97">
        <f t="shared" si="1"/>
        <v>9.0324493508304613</v>
      </c>
      <c r="G18" s="97">
        <f t="shared" si="1"/>
        <v>9.0324493508304613</v>
      </c>
    </row>
    <row r="19" spans="1:7" outlineLevel="1" x14ac:dyDescent="0.25">
      <c r="A19" s="269" t="s">
        <v>165</v>
      </c>
      <c r="B19" s="269"/>
      <c r="C19" s="97">
        <f>C18-C17</f>
        <v>-152.88752225772248</v>
      </c>
      <c r="D19" s="97">
        <f t="shared" ref="D19:G19" si="2">D18-D17</f>
        <v>-152.88752225772248</v>
      </c>
      <c r="E19" s="97">
        <f t="shared" si="2"/>
        <v>-152.88752225772248</v>
      </c>
      <c r="F19" s="97">
        <f t="shared" si="2"/>
        <v>-152.88752225772248</v>
      </c>
      <c r="G19" s="97">
        <f t="shared" si="2"/>
        <v>-152.88752225772248</v>
      </c>
    </row>
    <row r="20" spans="1:7" outlineLevel="1" x14ac:dyDescent="0.25">
      <c r="A20" s="269" t="s">
        <v>166</v>
      </c>
      <c r="B20" s="269"/>
      <c r="C20" s="97">
        <f>IFERROR('Income Statement 2020-2024'!C4/'Balance Sheet 2020-2024'!C23,0)</f>
        <v>2.6523468510558774</v>
      </c>
      <c r="D20" s="97">
        <f>IFERROR('Income Statement 2020-2024'!D4/'Balance Sheet 2020-2024'!D23,0)</f>
        <v>9.2832444326923138</v>
      </c>
      <c r="E20" s="97">
        <f>IFERROR('Income Statement 2020-2024'!E4/'Balance Sheet 2020-2024'!E23,0)</f>
        <v>43.885312406781146</v>
      </c>
      <c r="F20" s="97">
        <f>IFERROR('Income Statement 2020-2024'!F4/'Balance Sheet 2020-2024'!F23,0)</f>
        <v>103.67421930221241</v>
      </c>
      <c r="G20" s="97">
        <f>IFERROR('Income Statement 2020-2024'!G4/'Balance Sheet 2020-2024'!G23,0)</f>
        <v>282.87843212585506</v>
      </c>
    </row>
    <row r="21" spans="1:7" outlineLevel="1" x14ac:dyDescent="0.25">
      <c r="A21" s="269" t="s">
        <v>422</v>
      </c>
      <c r="B21" s="269"/>
      <c r="C21" s="274">
        <f>'Income Statement 2020-2024'!C4/'Balance Sheet 2020-2024'!$J$10</f>
        <v>7.8848377777777783</v>
      </c>
      <c r="D21" s="274">
        <f>'Income Statement 2020-2024'!D4/'Balance Sheet 2020-2024'!$J$10</f>
        <v>52.310711133540288</v>
      </c>
      <c r="E21" s="274">
        <f>'Income Statement 2020-2024'!E4/'Balance Sheet 2020-2024'!$J$10</f>
        <v>363.94644020097746</v>
      </c>
      <c r="F21" s="274">
        <f>'Income Statement 2020-2024'!F4/'Balance Sheet 2020-2024'!$J$10</f>
        <v>1134.951000284047</v>
      </c>
      <c r="G21" s="274">
        <f>'Income Statement 2020-2024'!G4/'Balance Sheet 2020-2024'!$J$10</f>
        <v>3846.4212393507255</v>
      </c>
    </row>
    <row r="22" spans="1:7" outlineLevel="1" x14ac:dyDescent="0.25">
      <c r="A22" s="269" t="s">
        <v>425</v>
      </c>
      <c r="B22" s="269"/>
      <c r="C22" s="274">
        <f>'Income Statement 2020-2024'!C30/'Balance Sheet 2020-2024'!$J$10</f>
        <v>-26.995573602409024</v>
      </c>
      <c r="D22" s="274">
        <f>'Income Statement 2020-2024'!D30/'Balance Sheet 2020-2024'!$J$10</f>
        <v>-144.88975729928899</v>
      </c>
      <c r="E22" s="274">
        <f>'Income Statement 2020-2024'!E30/'Balance Sheet 2020-2024'!$J$10</f>
        <v>-35.457181184089265</v>
      </c>
      <c r="F22" s="274">
        <f>'Income Statement 2020-2024'!F30/'Balance Sheet 2020-2024'!$J$10</f>
        <v>319.97702591636562</v>
      </c>
      <c r="G22" s="274">
        <f>'Income Statement 2020-2024'!G30/'Balance Sheet 2020-2024'!$J$10</f>
        <v>1776.9159537152773</v>
      </c>
    </row>
    <row r="23" spans="1:7" outlineLevel="1" x14ac:dyDescent="0.25">
      <c r="A23" s="269" t="s">
        <v>424</v>
      </c>
      <c r="B23" s="269"/>
      <c r="C23" s="274">
        <f>'Cash Flow Statement 2020-2024'!C16/'Balance Sheet 2020-2024'!$J$10</f>
        <v>88.888888888888886</v>
      </c>
      <c r="D23" s="274">
        <f>'Cash Flow Statement 2020-2024'!D16/'Balance Sheet 2020-2024'!$J$10</f>
        <v>0</v>
      </c>
      <c r="E23" s="274">
        <f>'Cash Flow Statement 2020-2024'!E16/'Balance Sheet 2020-2024'!$J$10</f>
        <v>0</v>
      </c>
      <c r="F23" s="274">
        <f>'Cash Flow Statement 2020-2024'!F16/'Balance Sheet 2020-2024'!$J$10</f>
        <v>0</v>
      </c>
      <c r="G23" s="274">
        <f>'Cash Flow Statement 2020-2024'!G16/'Balance Sheet 2020-2024'!$J$10</f>
        <v>0</v>
      </c>
    </row>
    <row r="24" spans="1:7" outlineLevel="1" x14ac:dyDescent="0.25">
      <c r="A24" s="244" t="s">
        <v>156</v>
      </c>
      <c r="B24" s="244"/>
      <c r="C24" s="95">
        <f>IFERROR('Income Statement 2020-2024'!C29/'Income Statement 2020-2024'!C27,0)</f>
        <v>0</v>
      </c>
      <c r="D24" s="95">
        <f>IFERROR('Income Statement 2020-2024'!D29/'Income Statement 2020-2024'!D27,0)</f>
        <v>0</v>
      </c>
      <c r="E24" s="95">
        <f>IFERROR('Income Statement 2020-2024'!E29/'Income Statement 2020-2024'!E27,0)</f>
        <v>0</v>
      </c>
      <c r="F24" s="95">
        <f>IFERROR('Income Statement 2020-2024'!F29/'Income Statement 2020-2024'!F27,0)</f>
        <v>0.28999999999999998</v>
      </c>
      <c r="G24" s="95">
        <f>IFERROR('Income Statement 2020-2024'!G29/'Income Statement 2020-2024'!G27,0)</f>
        <v>0.28999999999999998</v>
      </c>
    </row>
    <row r="25" spans="1:7" outlineLevel="1" x14ac:dyDescent="0.25">
      <c r="C25" s="95"/>
      <c r="D25" s="95"/>
      <c r="E25" s="95"/>
      <c r="F25" s="95"/>
      <c r="G25" s="95"/>
    </row>
    <row r="26" spans="1:7" x14ac:dyDescent="0.25">
      <c r="C26" s="95"/>
      <c r="D26" s="95"/>
      <c r="E26" s="95"/>
      <c r="F26" s="95"/>
      <c r="G26" s="95"/>
    </row>
    <row r="27" spans="1:7" x14ac:dyDescent="0.25">
      <c r="A27" s="9" t="s">
        <v>169</v>
      </c>
      <c r="B27" s="9"/>
      <c r="C27" s="9"/>
      <c r="D27" s="9"/>
      <c r="E27" s="9"/>
      <c r="F27" s="9"/>
      <c r="G27" s="9"/>
    </row>
    <row r="28" spans="1:7" outlineLevel="1" x14ac:dyDescent="0.25">
      <c r="A28" s="244" t="s">
        <v>170</v>
      </c>
      <c r="B28" s="244"/>
      <c r="C28" s="98">
        <f>IFERROR('Balance Sheet 2020-2024'!C21/'Balance Sheet 2020-2024'!C31,0)</f>
        <v>436.28520043540527</v>
      </c>
      <c r="D28" s="98">
        <f>IFERROR('Balance Sheet 2020-2024'!D21/'Balance Sheet 2020-2024'!D31,0)</f>
        <v>17.94821931396903</v>
      </c>
      <c r="E28" s="98">
        <f>IFERROR('Balance Sheet 2020-2024'!E21/'Balance Sheet 2020-2024'!E31,0)</f>
        <v>3.7050913265047214</v>
      </c>
      <c r="F28" s="98">
        <f>IFERROR('Balance Sheet 2020-2024'!F21/'Balance Sheet 2020-2024'!F31,0)</f>
        <v>4.8370658693123305</v>
      </c>
      <c r="G28" s="98">
        <f>IFERROR('Balance Sheet 2020-2024'!G21/'Balance Sheet 2020-2024'!G31,0)</f>
        <v>7.0286900454569583</v>
      </c>
    </row>
    <row r="29" spans="1:7" outlineLevel="1" x14ac:dyDescent="0.25">
      <c r="A29" s="244" t="s">
        <v>171</v>
      </c>
      <c r="B29" s="244"/>
      <c r="C29" s="98">
        <f>IFERROR(('Balance Sheet 2020-2024'!C21-'Balance Sheet 2020-2024'!C20)/'Balance Sheet 2020-2024'!C31,0)</f>
        <v>436.24735973814273</v>
      </c>
      <c r="D29" s="98">
        <f>IFERROR(('Balance Sheet 2020-2024'!D21-'Balance Sheet 2020-2024'!D20)/'Balance Sheet 2020-2024'!D31,0)</f>
        <v>17.89389793554362</v>
      </c>
      <c r="E29" s="98">
        <f>IFERROR(('Balance Sheet 2020-2024'!E21-'Balance Sheet 2020-2024'!E20)/'Balance Sheet 2020-2024'!E31,0)</f>
        <v>3.6496338688588161</v>
      </c>
      <c r="F29" s="98">
        <f>IFERROR(('Balance Sheet 2020-2024'!F21-'Balance Sheet 2020-2024'!F20)/'Balance Sheet 2020-2024'!F31,0)</f>
        <v>4.7813939441752646</v>
      </c>
      <c r="G29" s="98">
        <f>IFERROR(('Balance Sheet 2020-2024'!G21-'Balance Sheet 2020-2024'!G20)/'Balance Sheet 2020-2024'!G31,0)</f>
        <v>6.9729402868006485</v>
      </c>
    </row>
    <row r="30" spans="1:7" outlineLevel="1" x14ac:dyDescent="0.25">
      <c r="C30" s="98"/>
      <c r="D30" s="98"/>
      <c r="E30" s="98"/>
      <c r="F30" s="98"/>
      <c r="G30" s="98"/>
    </row>
    <row r="31" spans="1:7" x14ac:dyDescent="0.25">
      <c r="C31" s="98"/>
      <c r="D31" s="98"/>
      <c r="E31" s="98"/>
      <c r="F31" s="98"/>
      <c r="G31" s="98"/>
    </row>
    <row r="32" spans="1:7" x14ac:dyDescent="0.25">
      <c r="A32" s="9" t="s">
        <v>172</v>
      </c>
      <c r="B32" s="9"/>
      <c r="C32" s="9"/>
      <c r="D32" s="9"/>
      <c r="E32" s="9"/>
      <c r="F32" s="9"/>
      <c r="G32" s="9"/>
    </row>
    <row r="33" spans="1:7" outlineLevel="1" x14ac:dyDescent="0.25">
      <c r="A33" s="244" t="s">
        <v>173</v>
      </c>
      <c r="B33" s="244"/>
      <c r="C33" s="98">
        <f>IFERROR('Balance Sheet 2020-2024'!C33/'Balance Sheet 2020-2024'!C39,0)</f>
        <v>0</v>
      </c>
      <c r="D33" s="98">
        <f>IFERROR('Balance Sheet 2020-2024'!D33/'Balance Sheet 2020-2024'!D39,0)</f>
        <v>-4.6011994159778899E-2</v>
      </c>
      <c r="E33" s="98">
        <f>IFERROR('Balance Sheet 2020-2024'!E33/'Balance Sheet 2020-2024'!E39,0)</f>
        <v>-3.6965787846080365E-2</v>
      </c>
      <c r="F33" s="98">
        <f>IFERROR('Balance Sheet 2020-2024'!F33/'Balance Sheet 2020-2024'!F39,0)</f>
        <v>4.7745201548098998E-2</v>
      </c>
      <c r="G33" s="98">
        <f>IFERROR('Balance Sheet 2020-2024'!G33/'Balance Sheet 2020-2024'!G39,0)</f>
        <v>3.4784797878753024E-3</v>
      </c>
    </row>
    <row r="34" spans="1:7" outlineLevel="1" x14ac:dyDescent="0.25">
      <c r="A34" s="244" t="s">
        <v>174</v>
      </c>
      <c r="B34" s="244"/>
      <c r="C34" s="98">
        <f>IFERROR('Balance Sheet 2020-2024'!C33/('Balance Sheet 2020-2024'!C25-'Balance Sheet 2020-2024'!C34),0)</f>
        <v>2.2957231424582052E-2</v>
      </c>
      <c r="D34" s="98">
        <f>IFERROR('Balance Sheet 2020-2024'!D33/('Balance Sheet 2020-2024'!D25-'Balance Sheet 2020-2024'!D34),0)</f>
        <v>2.105304348471098E-2</v>
      </c>
      <c r="E34" s="98">
        <f>IFERROR('Balance Sheet 2020-2024'!E33/('Balance Sheet 2020-2024'!E25-'Balance Sheet 2020-2024'!E34),0)</f>
        <v>1.0454341022552913E-2</v>
      </c>
      <c r="F34" s="98">
        <f>IFERROR('Balance Sheet 2020-2024'!F33/('Balance Sheet 2020-2024'!F25-'Balance Sheet 2020-2024'!F34),0)</f>
        <v>4.3386129518369768E-3</v>
      </c>
      <c r="G34" s="98">
        <f>IFERROR('Balance Sheet 2020-2024'!G33/('Balance Sheet 2020-2024'!G25-'Balance Sheet 2020-2024'!G34),0)</f>
        <v>1.5861884683491254E-3</v>
      </c>
    </row>
    <row r="35" spans="1:7" outlineLevel="1" x14ac:dyDescent="0.25">
      <c r="A35" s="244" t="s">
        <v>175</v>
      </c>
      <c r="B35" s="244"/>
      <c r="C35" s="98">
        <f>IFERROR('Balance Sheet 2020-2024'!C34/'Balance Sheet 2020-2024'!C39,0)</f>
        <v>0</v>
      </c>
      <c r="D35" s="98">
        <f>IFERROR('Balance Sheet 2020-2024'!D34/'Balance Sheet 2020-2024'!D39,0)</f>
        <v>-0.10206210913985747</v>
      </c>
      <c r="E35" s="98">
        <f>IFERROR('Balance Sheet 2020-2024'!E34/'Balance Sheet 2020-2024'!E39,0)</f>
        <v>-0.2409618715494253</v>
      </c>
      <c r="F35" s="98">
        <f>IFERROR('Balance Sheet 2020-2024'!F34/'Balance Sheet 2020-2024'!F39,0)</f>
        <v>0.82576811986552756</v>
      </c>
      <c r="G35" s="98">
        <f>IFERROR('Balance Sheet 2020-2024'!G34/'Balance Sheet 2020-2024'!G39,0)</f>
        <v>0.1931145499110706</v>
      </c>
    </row>
    <row r="36" spans="1:7" outlineLevel="1" x14ac:dyDescent="0.25">
      <c r="A36" s="244" t="s">
        <v>176</v>
      </c>
      <c r="B36" s="244"/>
      <c r="C36" s="96">
        <f>IFERROR('Balance Sheet 2020-2024'!C25/'Balance Sheet 2020-2024'!C39,0)</f>
        <v>0</v>
      </c>
      <c r="D36" s="96">
        <f>IFERROR('Balance Sheet 2020-2024'!D25/'Balance Sheet 2020-2024'!D39,0)</f>
        <v>-2.2875890707496342</v>
      </c>
      <c r="E36" s="96">
        <f>IFERROR('Balance Sheet 2020-2024'!E25/'Balance Sheet 2020-2024'!E39,0)</f>
        <v>-3.776888982242955</v>
      </c>
      <c r="F36" s="96">
        <f>IFERROR('Balance Sheet 2020-2024'!F25/'Balance Sheet 2020-2024'!F39,0)</f>
        <v>11.830483700194856</v>
      </c>
      <c r="G36" s="96">
        <f>IFERROR('Balance Sheet 2020-2024'!G25/'Balance Sheet 2020-2024'!G39,0)</f>
        <v>2.3860946763494106</v>
      </c>
    </row>
    <row r="37" spans="1:7" outlineLevel="1" x14ac:dyDescent="0.25">
      <c r="C37" s="96"/>
      <c r="D37" s="96"/>
      <c r="E37" s="96"/>
      <c r="F37" s="96"/>
      <c r="G37" s="96"/>
    </row>
    <row r="39" spans="1:7" x14ac:dyDescent="0.25">
      <c r="A39" s="9" t="s">
        <v>177</v>
      </c>
      <c r="B39" s="9"/>
      <c r="C39" s="9"/>
      <c r="D39" s="9"/>
      <c r="E39" s="9"/>
      <c r="F39" s="9"/>
      <c r="G39" s="9"/>
    </row>
    <row r="40" spans="1:7" outlineLevel="1" x14ac:dyDescent="0.25">
      <c r="A40" s="244" t="s">
        <v>157</v>
      </c>
      <c r="B40" s="244"/>
      <c r="C40" s="117">
        <f>IFERROR('Income Statement 2020-2024'!C23/'Income Statement 2020-2024'!C26,0)</f>
        <v>0</v>
      </c>
      <c r="D40" s="117">
        <f>IFERROR('Income Statement 2020-2024'!D23/'Income Statement 2020-2024'!D26,0)</f>
        <v>0</v>
      </c>
      <c r="E40" s="117">
        <f>IFERROR('Income Statement 2020-2024'!E23/'Income Statement 2020-2024'!E26,0)</f>
        <v>0</v>
      </c>
      <c r="F40" s="117">
        <f>IFERROR('Income Statement 2020-2024'!F23/'Income Statement 2020-2024'!F26,0)</f>
        <v>0</v>
      </c>
      <c r="G40" s="117">
        <f>IFERROR('Income Statement 2020-2024'!G23/'Income Statement 2020-2024'!G26,0)</f>
        <v>0</v>
      </c>
    </row>
    <row r="41" spans="1:7" outlineLevel="1" x14ac:dyDescent="0.25"/>
  </sheetData>
  <conditionalFormatting sqref="C4:G4">
    <cfRule type="dataBar" priority="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{BFAF7588-8E86-1A48-A8B9-E0FB6DE3EB3C}</x14:id>
        </ext>
      </extLst>
    </cfRule>
  </conditionalFormatting>
  <conditionalFormatting sqref="C5:G5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{1A1AD94E-B9EE-3C4D-9EF8-4927C8D82BF4}</x14:id>
        </ext>
      </extLst>
    </cfRule>
  </conditionalFormatting>
  <conditionalFormatting sqref="C6:G6">
    <cfRule type="dataBar" priority="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{4C241022-85BE-1A4D-9EC5-2782C6562284}</x14:id>
        </ext>
      </extLst>
    </cfRule>
  </conditionalFormatting>
  <conditionalFormatting sqref="C10:G1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1:G1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20:G2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:G28">
    <cfRule type="colorScale" priority="7">
      <colorScale>
        <cfvo type="min"/>
        <cfvo type="max"/>
        <color rgb="FFFFEF9C"/>
        <color rgb="FF63BE7B"/>
      </colorScale>
    </cfRule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:G29">
    <cfRule type="colorScale" priority="5">
      <colorScale>
        <cfvo type="min"/>
        <cfvo type="max"/>
        <color rgb="FFFFEF9C"/>
        <color rgb="FF63BE7B"/>
      </colorScale>
    </cfRule>
  </conditionalFormatting>
  <conditionalFormatting sqref="C33:G33">
    <cfRule type="colorScale" priority="4">
      <colorScale>
        <cfvo type="min"/>
        <cfvo type="max"/>
        <color rgb="FF63BE7B"/>
        <color rgb="FFFFEF9C"/>
      </colorScale>
    </cfRule>
  </conditionalFormatting>
  <conditionalFormatting sqref="C34:G34">
    <cfRule type="colorScale" priority="3">
      <colorScale>
        <cfvo type="min"/>
        <cfvo type="max"/>
        <color rgb="FF63BE7B"/>
        <color rgb="FFFFEF9C"/>
      </colorScale>
    </cfRule>
  </conditionalFormatting>
  <conditionalFormatting sqref="C40:G40">
    <cfRule type="colorScale" priority="2">
      <colorScale>
        <cfvo type="min"/>
        <cfvo type="max"/>
        <color rgb="FFFFEF9C"/>
        <color rgb="FF63BE7B"/>
      </colorScale>
    </cfRule>
  </conditionalFormatting>
  <conditionalFormatting sqref="C21:G23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FAF7588-8E86-1A48-A8B9-E0FB6DE3EB3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C4:G4</xm:sqref>
        </x14:conditionalFormatting>
        <x14:conditionalFormatting xmlns:xm="http://schemas.microsoft.com/office/excel/2006/main">
          <x14:cfRule type="dataBar" id="{1A1AD94E-B9EE-3C4D-9EF8-4927C8D82BF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C5:G5</xm:sqref>
        </x14:conditionalFormatting>
        <x14:conditionalFormatting xmlns:xm="http://schemas.microsoft.com/office/excel/2006/main">
          <x14:cfRule type="dataBar" id="{4C241022-85BE-1A4D-9EC5-2782C656228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C6:G6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B8D07-B6BF-164E-A9C7-5DC7FF8D5B23}">
  <sheetPr>
    <tabColor rgb="FF7030A0"/>
  </sheetPr>
  <dimension ref="A1:R105"/>
  <sheetViews>
    <sheetView showGridLines="0" zoomScale="116" zoomScaleNormal="85" workbookViewId="0">
      <selection activeCell="A2" sqref="A2"/>
    </sheetView>
  </sheetViews>
  <sheetFormatPr baseColWidth="10" defaultColWidth="9.1640625" defaultRowHeight="16" x14ac:dyDescent="0.25"/>
  <cols>
    <col min="1" max="1" width="8" style="1" customWidth="1"/>
    <col min="2" max="2" width="14.83203125" style="1" customWidth="1"/>
    <col min="3" max="3" width="13.6640625" style="1" customWidth="1"/>
    <col min="4" max="4" width="18.33203125" style="1" customWidth="1"/>
    <col min="5" max="6" width="11.83203125" style="1" customWidth="1"/>
    <col min="7" max="7" width="12.5" style="1" customWidth="1"/>
    <col min="8" max="9" width="11.83203125" style="1" customWidth="1"/>
    <col min="10" max="10" width="13.5" style="1" customWidth="1"/>
    <col min="11" max="12" width="11.83203125" style="1" customWidth="1"/>
    <col min="13" max="14" width="11.5" style="1" customWidth="1"/>
    <col min="15" max="19" width="10.33203125" style="1" customWidth="1"/>
    <col min="20" max="16384" width="9.1640625" style="1"/>
  </cols>
  <sheetData>
    <row r="1" spans="1:18" s="4" customFormat="1" x14ac:dyDescent="0.25">
      <c r="A1" s="52" t="s">
        <v>636</v>
      </c>
      <c r="C1" s="49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8" ht="28" customHeight="1" x14ac:dyDescent="0.35">
      <c r="A2" s="437" cm="1">
        <f t="array" ref="A2:A9">'KPI Tracking data'!A3:A10</f>
        <v>1</v>
      </c>
      <c r="B2" s="437" t="str" cm="1">
        <f t="array" ref="B2:B9">'KPI Tracking data'!B3:B10</f>
        <v>Users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</row>
    <row r="3" spans="1:18" x14ac:dyDescent="0.25">
      <c r="A3" s="1">
        <v>0</v>
      </c>
      <c r="B3" s="1">
        <v>0</v>
      </c>
    </row>
    <row r="4" spans="1:18" x14ac:dyDescent="0.25">
      <c r="A4" s="1">
        <v>0</v>
      </c>
      <c r="B4" s="1">
        <v>0</v>
      </c>
    </row>
    <row r="5" spans="1:18" x14ac:dyDescent="0.25">
      <c r="A5" s="1">
        <v>0</v>
      </c>
      <c r="B5" s="1">
        <v>0</v>
      </c>
    </row>
    <row r="6" spans="1:18" x14ac:dyDescent="0.25">
      <c r="A6" s="1">
        <v>0</v>
      </c>
      <c r="B6" s="1">
        <v>0</v>
      </c>
    </row>
    <row r="7" spans="1:18" x14ac:dyDescent="0.25">
      <c r="A7" s="1">
        <v>0</v>
      </c>
      <c r="B7" s="1">
        <v>0</v>
      </c>
    </row>
    <row r="8" spans="1:18" x14ac:dyDescent="0.25">
      <c r="A8" s="1">
        <v>0</v>
      </c>
      <c r="B8" s="1">
        <v>0</v>
      </c>
    </row>
    <row r="9" spans="1:18" x14ac:dyDescent="0.25">
      <c r="A9" s="1">
        <v>0</v>
      </c>
      <c r="B9" s="1">
        <v>0</v>
      </c>
    </row>
    <row r="19" spans="1:18" ht="28" customHeight="1" x14ac:dyDescent="0.35">
      <c r="A19" s="438" cm="1">
        <f t="array" ref="A19:A20">'KPI Tracking data'!A11:A12</f>
        <v>2</v>
      </c>
      <c r="B19" s="438" t="str" cm="1">
        <f t="array" ref="B19:B20">'KPI Tracking data'!B11:B12</f>
        <v>Acquisition cost</v>
      </c>
      <c r="C19" s="439"/>
      <c r="D19" s="439"/>
      <c r="E19" s="439"/>
      <c r="F19" s="439"/>
      <c r="G19" s="439"/>
      <c r="H19" s="439"/>
      <c r="I19" s="439"/>
      <c r="J19" s="439"/>
      <c r="K19" s="439"/>
      <c r="L19" s="439"/>
      <c r="M19" s="439"/>
      <c r="N19" s="439"/>
      <c r="O19" s="439"/>
      <c r="P19" s="439"/>
      <c r="Q19" s="439"/>
      <c r="R19" s="439"/>
    </row>
    <row r="20" spans="1:18" x14ac:dyDescent="0.25">
      <c r="A20" s="1">
        <v>0</v>
      </c>
      <c r="B20" s="1">
        <v>0</v>
      </c>
    </row>
    <row r="36" spans="1:18" ht="28" customHeight="1" x14ac:dyDescent="0.35">
      <c r="A36" s="435" cm="1">
        <f t="array" ref="A36:A37">'KPI Tracking data'!A14:A15</f>
        <v>3</v>
      </c>
      <c r="B36" s="435" t="str" cm="1">
        <f t="array" ref="B36:B37">'KPI Tracking data'!B14:B15</f>
        <v>Conversion rate</v>
      </c>
      <c r="C36" s="440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40"/>
      <c r="Q36" s="440"/>
      <c r="R36" s="440"/>
    </row>
    <row r="37" spans="1:18" x14ac:dyDescent="0.25">
      <c r="A37" s="1">
        <v>0</v>
      </c>
      <c r="B37" s="1">
        <v>0</v>
      </c>
    </row>
    <row r="53" spans="1:18" ht="24" x14ac:dyDescent="0.35">
      <c r="A53" s="441" cm="1">
        <f t="array" ref="A53:A85">'KPI Tracking data'!A17:A49</f>
        <v>4</v>
      </c>
      <c r="B53" s="441" t="str" cm="1">
        <f t="array" ref="B53:B85">'KPI Tracking data'!B17:B49</f>
        <v>BM1 : White label websites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</row>
    <row r="54" spans="1:18" x14ac:dyDescent="0.25">
      <c r="A54" s="1">
        <v>0</v>
      </c>
      <c r="B54" s="1">
        <v>0</v>
      </c>
    </row>
    <row r="55" spans="1:18" x14ac:dyDescent="0.25">
      <c r="A55" s="1">
        <v>0</v>
      </c>
      <c r="B55" s="1">
        <v>0</v>
      </c>
    </row>
    <row r="56" spans="1:18" x14ac:dyDescent="0.25">
      <c r="A56" s="1">
        <v>0</v>
      </c>
      <c r="B56" s="1">
        <v>0</v>
      </c>
    </row>
    <row r="57" spans="1:18" x14ac:dyDescent="0.25">
      <c r="A57" s="1">
        <v>0</v>
      </c>
      <c r="B57" s="1">
        <v>0</v>
      </c>
    </row>
    <row r="58" spans="1:18" x14ac:dyDescent="0.25">
      <c r="A58" s="1">
        <v>0</v>
      </c>
      <c r="B58" s="1">
        <v>0</v>
      </c>
    </row>
    <row r="59" spans="1:18" x14ac:dyDescent="0.25">
      <c r="A59" s="1">
        <v>0</v>
      </c>
      <c r="B59" s="1">
        <v>0</v>
      </c>
    </row>
    <row r="60" spans="1:18" x14ac:dyDescent="0.25">
      <c r="A60" s="1">
        <v>0</v>
      </c>
      <c r="B60" s="1">
        <v>0</v>
      </c>
    </row>
    <row r="61" spans="1:18" x14ac:dyDescent="0.25">
      <c r="A61" s="1">
        <v>0</v>
      </c>
      <c r="B61" s="1">
        <v>0</v>
      </c>
    </row>
    <row r="62" spans="1:18" x14ac:dyDescent="0.25">
      <c r="A62" s="1">
        <v>0</v>
      </c>
      <c r="B62" s="1">
        <v>0</v>
      </c>
    </row>
    <row r="63" spans="1:18" x14ac:dyDescent="0.25">
      <c r="A63" s="1">
        <v>0</v>
      </c>
      <c r="B63" s="1">
        <v>0</v>
      </c>
    </row>
    <row r="64" spans="1:18" x14ac:dyDescent="0.25">
      <c r="A64" s="1">
        <v>0</v>
      </c>
      <c r="B64" s="1">
        <v>0</v>
      </c>
    </row>
    <row r="65" spans="1:2" x14ac:dyDescent="0.25">
      <c r="A65" s="1">
        <v>0</v>
      </c>
      <c r="B65" s="1">
        <v>0</v>
      </c>
    </row>
    <row r="66" spans="1:2" x14ac:dyDescent="0.25">
      <c r="A66" s="1">
        <v>0</v>
      </c>
      <c r="B66" s="1">
        <v>0</v>
      </c>
    </row>
    <row r="67" spans="1:2" x14ac:dyDescent="0.25">
      <c r="A67" s="1">
        <v>0</v>
      </c>
      <c r="B67" s="1">
        <v>0</v>
      </c>
    </row>
    <row r="68" spans="1:2" x14ac:dyDescent="0.25">
      <c r="A68" s="1">
        <v>0</v>
      </c>
      <c r="B68" s="1">
        <v>0</v>
      </c>
    </row>
    <row r="69" spans="1:2" x14ac:dyDescent="0.25">
      <c r="A69" s="1">
        <v>0</v>
      </c>
      <c r="B69" s="1">
        <v>0</v>
      </c>
    </row>
    <row r="70" spans="1:2" x14ac:dyDescent="0.25">
      <c r="A70" s="1">
        <v>0</v>
      </c>
      <c r="B70" s="1">
        <v>0</v>
      </c>
    </row>
    <row r="71" spans="1:2" x14ac:dyDescent="0.25">
      <c r="A71" s="1">
        <v>0</v>
      </c>
      <c r="B71" s="1">
        <v>0</v>
      </c>
    </row>
    <row r="72" spans="1:2" x14ac:dyDescent="0.25">
      <c r="A72" s="1">
        <v>0</v>
      </c>
      <c r="B72" s="1">
        <v>0</v>
      </c>
    </row>
    <row r="73" spans="1:2" x14ac:dyDescent="0.25">
      <c r="A73" s="1">
        <v>0</v>
      </c>
      <c r="B73" s="1">
        <v>0</v>
      </c>
    </row>
    <row r="74" spans="1:2" x14ac:dyDescent="0.25">
      <c r="A74" s="1">
        <v>0</v>
      </c>
      <c r="B74" s="1">
        <v>0</v>
      </c>
    </row>
    <row r="75" spans="1:2" x14ac:dyDescent="0.25">
      <c r="A75" s="1">
        <v>0</v>
      </c>
      <c r="B75" s="1">
        <v>0</v>
      </c>
    </row>
    <row r="76" spans="1:2" x14ac:dyDescent="0.25">
      <c r="A76" s="1">
        <v>0</v>
      </c>
      <c r="B76" s="1">
        <v>0</v>
      </c>
    </row>
    <row r="77" spans="1:2" x14ac:dyDescent="0.25">
      <c r="A77" s="1">
        <v>0</v>
      </c>
      <c r="B77" s="1">
        <v>0</v>
      </c>
    </row>
    <row r="78" spans="1:2" x14ac:dyDescent="0.25">
      <c r="A78" s="1">
        <v>0</v>
      </c>
      <c r="B78" s="1">
        <v>0</v>
      </c>
    </row>
    <row r="79" spans="1:2" x14ac:dyDescent="0.25">
      <c r="A79" s="1">
        <v>0</v>
      </c>
      <c r="B79" s="1">
        <v>0</v>
      </c>
    </row>
    <row r="80" spans="1:2" x14ac:dyDescent="0.25">
      <c r="A80" s="1">
        <v>0</v>
      </c>
      <c r="B80" s="1">
        <v>0</v>
      </c>
    </row>
    <row r="81" spans="1:2" x14ac:dyDescent="0.25">
      <c r="A81" s="1">
        <v>0</v>
      </c>
      <c r="B81" s="1">
        <v>0</v>
      </c>
    </row>
    <row r="82" spans="1:2" x14ac:dyDescent="0.25">
      <c r="A82" s="1">
        <v>0</v>
      </c>
      <c r="B82" s="1">
        <v>0</v>
      </c>
    </row>
    <row r="83" spans="1:2" x14ac:dyDescent="0.25">
      <c r="A83" s="1">
        <v>0</v>
      </c>
      <c r="B83" s="1">
        <v>0</v>
      </c>
    </row>
    <row r="84" spans="1:2" x14ac:dyDescent="0.25">
      <c r="A84" s="1">
        <v>0</v>
      </c>
      <c r="B84" s="1">
        <v>0</v>
      </c>
    </row>
    <row r="85" spans="1:2" x14ac:dyDescent="0.25">
      <c r="A85" s="1">
        <v>0</v>
      </c>
      <c r="B85" s="1">
        <v>0</v>
      </c>
    </row>
    <row r="100" spans="1:18" ht="24" x14ac:dyDescent="0.35">
      <c r="A100" s="441" cm="1">
        <f t="array" ref="A100:A105">'KPI Tracking data'!A182:A187</f>
        <v>9</v>
      </c>
      <c r="B100" s="441" t="str" cm="1">
        <f t="array" ref="B100:B105">'KPI Tracking data'!B182:B187</f>
        <v>Net revenues</v>
      </c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</row>
    <row r="101" spans="1:18" x14ac:dyDescent="0.25">
      <c r="A101" s="1">
        <v>0</v>
      </c>
      <c r="B101" s="1">
        <v>0</v>
      </c>
    </row>
    <row r="102" spans="1:18" x14ac:dyDescent="0.25">
      <c r="A102" s="1">
        <v>0</v>
      </c>
      <c r="B102" s="1">
        <v>0</v>
      </c>
    </row>
    <row r="103" spans="1:18" x14ac:dyDescent="0.25">
      <c r="A103" s="1">
        <v>0</v>
      </c>
      <c r="B103" s="1">
        <v>0</v>
      </c>
    </row>
    <row r="104" spans="1:18" x14ac:dyDescent="0.25">
      <c r="A104" s="1">
        <v>0</v>
      </c>
      <c r="B104" s="1">
        <v>0</v>
      </c>
    </row>
    <row r="105" spans="1:18" x14ac:dyDescent="0.25">
      <c r="A105" s="1">
        <v>0</v>
      </c>
      <c r="B105" s="1">
        <v>0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488C6-5C1B-D94D-BA00-C29CCB228CF8}">
  <sheetPr>
    <tabColor rgb="FF7030A0"/>
  </sheetPr>
  <dimension ref="A1:BM324"/>
  <sheetViews>
    <sheetView showGridLines="0" zoomScale="125" zoomScaleNormal="150" workbookViewId="0">
      <pane xSplit="4" ySplit="2" topLeftCell="E11" activePane="bottomRight" state="frozen"/>
      <selection pane="topRight" activeCell="E1" sqref="E1"/>
      <selection pane="bottomLeft" activeCell="A3" sqref="A3"/>
      <selection pane="bottomRight" activeCell="H27" sqref="H27"/>
    </sheetView>
  </sheetViews>
  <sheetFormatPr baseColWidth="10" defaultColWidth="9.1640625" defaultRowHeight="16" outlineLevelRow="1" x14ac:dyDescent="0.25"/>
  <cols>
    <col min="1" max="1" width="12.5" style="1" customWidth="1"/>
    <col min="2" max="3" width="14.83203125" style="1" customWidth="1"/>
    <col min="4" max="4" width="22.33203125" style="1" customWidth="1"/>
    <col min="5" max="5" width="11.83203125" style="1" customWidth="1"/>
    <col min="6" max="6" width="11.6640625" style="1" customWidth="1"/>
    <col min="7" max="8" width="11.83203125" style="1" customWidth="1"/>
    <col min="9" max="9" width="12.5" style="1" customWidth="1"/>
    <col min="10" max="11" width="11.83203125" style="1" customWidth="1"/>
    <col min="12" max="12" width="13.5" style="1" customWidth="1"/>
    <col min="13" max="14" width="11.83203125" style="1" customWidth="1"/>
    <col min="15" max="16" width="11.83203125" style="1" bestFit="1" customWidth="1"/>
    <col min="17" max="25" width="11.6640625" style="1" customWidth="1"/>
    <col min="26" max="29" width="11.83203125" style="1" bestFit="1" customWidth="1"/>
    <col min="30" max="59" width="12.83203125" style="1" bestFit="1" customWidth="1"/>
    <col min="60" max="63" width="13.83203125" style="1" bestFit="1" customWidth="1"/>
    <col min="64" max="64" width="15.5" style="1" customWidth="1"/>
    <col min="65" max="16384" width="9.1640625" style="1"/>
  </cols>
  <sheetData>
    <row r="1" spans="1:65" s="4" customFormat="1" x14ac:dyDescent="0.25">
      <c r="A1" s="25" t="s">
        <v>558</v>
      </c>
      <c r="B1" s="3"/>
      <c r="C1" s="3"/>
      <c r="D1" s="3"/>
      <c r="E1" s="593">
        <v>2020</v>
      </c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5"/>
      <c r="Q1" s="592">
        <v>2021</v>
      </c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3">
        <v>2022</v>
      </c>
      <c r="AD1" s="594"/>
      <c r="AE1" s="594"/>
      <c r="AF1" s="594"/>
      <c r="AG1" s="594"/>
      <c r="AH1" s="594"/>
      <c r="AI1" s="594"/>
      <c r="AJ1" s="594"/>
      <c r="AK1" s="594"/>
      <c r="AL1" s="594"/>
      <c r="AM1" s="594"/>
      <c r="AN1" s="595"/>
      <c r="AO1" s="592">
        <v>2023</v>
      </c>
      <c r="AP1" s="592"/>
      <c r="AQ1" s="592"/>
      <c r="AR1" s="592"/>
      <c r="AS1" s="592"/>
      <c r="AT1" s="592"/>
      <c r="AU1" s="592"/>
      <c r="AV1" s="592"/>
      <c r="AW1" s="592"/>
      <c r="AX1" s="592"/>
      <c r="AY1" s="592"/>
      <c r="AZ1" s="592"/>
      <c r="BA1" s="593">
        <v>2024</v>
      </c>
      <c r="BB1" s="594"/>
      <c r="BC1" s="594"/>
      <c r="BD1" s="594"/>
      <c r="BE1" s="594"/>
      <c r="BF1" s="594"/>
      <c r="BG1" s="594"/>
      <c r="BH1" s="594"/>
      <c r="BI1" s="594"/>
      <c r="BJ1" s="594"/>
      <c r="BK1" s="594"/>
      <c r="BL1" s="595"/>
    </row>
    <row r="2" spans="1:65" s="320" customFormat="1" ht="17" thickBot="1" x14ac:dyDescent="0.3">
      <c r="A2" s="321" t="s">
        <v>494</v>
      </c>
      <c r="B2" s="321" t="s">
        <v>495</v>
      </c>
      <c r="C2" s="321" t="s">
        <v>496</v>
      </c>
      <c r="D2" s="321" t="s">
        <v>504</v>
      </c>
      <c r="E2" s="376">
        <f>TURNOVER!C43</f>
        <v>43831</v>
      </c>
      <c r="F2" s="377">
        <f>TURNOVER!D43</f>
        <v>43862</v>
      </c>
      <c r="G2" s="377">
        <f>TURNOVER!E43</f>
        <v>43891</v>
      </c>
      <c r="H2" s="377">
        <f>TURNOVER!F43</f>
        <v>43922</v>
      </c>
      <c r="I2" s="377">
        <f>TURNOVER!G43</f>
        <v>43952</v>
      </c>
      <c r="J2" s="377">
        <f>TURNOVER!H43</f>
        <v>43983</v>
      </c>
      <c r="K2" s="377">
        <f>TURNOVER!I43</f>
        <v>44013</v>
      </c>
      <c r="L2" s="377">
        <f>TURNOVER!J43</f>
        <v>44044</v>
      </c>
      <c r="M2" s="377">
        <f>TURNOVER!K43</f>
        <v>44075</v>
      </c>
      <c r="N2" s="377">
        <f>TURNOVER!L43</f>
        <v>44105</v>
      </c>
      <c r="O2" s="377">
        <f>TURNOVER!M43</f>
        <v>44136</v>
      </c>
      <c r="P2" s="378">
        <f>TURNOVER!N43</f>
        <v>44166</v>
      </c>
      <c r="Q2" s="322">
        <f>TURNOVER!O43</f>
        <v>44197</v>
      </c>
      <c r="R2" s="322">
        <f>TURNOVER!P43</f>
        <v>44228</v>
      </c>
      <c r="S2" s="322">
        <f>TURNOVER!Q43</f>
        <v>44256</v>
      </c>
      <c r="T2" s="322">
        <f>TURNOVER!R43</f>
        <v>44287</v>
      </c>
      <c r="U2" s="322">
        <f>TURNOVER!S43</f>
        <v>44317</v>
      </c>
      <c r="V2" s="322">
        <f>TURNOVER!T43</f>
        <v>44348</v>
      </c>
      <c r="W2" s="322">
        <f>TURNOVER!U43</f>
        <v>44378</v>
      </c>
      <c r="X2" s="322">
        <f>TURNOVER!V43</f>
        <v>44409</v>
      </c>
      <c r="Y2" s="322">
        <f>TURNOVER!W43</f>
        <v>44440</v>
      </c>
      <c r="Z2" s="322">
        <f>TURNOVER!X43</f>
        <v>44470</v>
      </c>
      <c r="AA2" s="322">
        <f>TURNOVER!Y43</f>
        <v>44501</v>
      </c>
      <c r="AB2" s="322">
        <f>TURNOVER!Z43</f>
        <v>44531</v>
      </c>
      <c r="AC2" s="376">
        <f>TURNOVER!AA43</f>
        <v>44562</v>
      </c>
      <c r="AD2" s="377">
        <f>TURNOVER!AB43</f>
        <v>44593</v>
      </c>
      <c r="AE2" s="377">
        <f>TURNOVER!AC43</f>
        <v>44621</v>
      </c>
      <c r="AF2" s="377">
        <f>TURNOVER!AD43</f>
        <v>44652</v>
      </c>
      <c r="AG2" s="377">
        <f>TURNOVER!AE43</f>
        <v>44682</v>
      </c>
      <c r="AH2" s="377">
        <f>TURNOVER!AF43</f>
        <v>44713</v>
      </c>
      <c r="AI2" s="377">
        <f>TURNOVER!AG43</f>
        <v>44743</v>
      </c>
      <c r="AJ2" s="377">
        <f>TURNOVER!AH43</f>
        <v>44774</v>
      </c>
      <c r="AK2" s="377">
        <f>TURNOVER!AI43</f>
        <v>44805</v>
      </c>
      <c r="AL2" s="377">
        <f>TURNOVER!AJ43</f>
        <v>44835</v>
      </c>
      <c r="AM2" s="377">
        <f>TURNOVER!AK43</f>
        <v>44866</v>
      </c>
      <c r="AN2" s="378">
        <f>TURNOVER!AL43</f>
        <v>44896</v>
      </c>
      <c r="AO2" s="322">
        <f>TURNOVER!AM43</f>
        <v>44927</v>
      </c>
      <c r="AP2" s="322">
        <f>TURNOVER!AN43</f>
        <v>44958</v>
      </c>
      <c r="AQ2" s="322">
        <f>TURNOVER!AO43</f>
        <v>44986</v>
      </c>
      <c r="AR2" s="322">
        <f>TURNOVER!AP43</f>
        <v>45017</v>
      </c>
      <c r="AS2" s="322">
        <f>TURNOVER!AQ43</f>
        <v>45047</v>
      </c>
      <c r="AT2" s="322">
        <f>TURNOVER!AR43</f>
        <v>45078</v>
      </c>
      <c r="AU2" s="322">
        <f>TURNOVER!AS43</f>
        <v>45108</v>
      </c>
      <c r="AV2" s="322">
        <f>TURNOVER!AT43</f>
        <v>45139</v>
      </c>
      <c r="AW2" s="322">
        <f>TURNOVER!AU43</f>
        <v>45170</v>
      </c>
      <c r="AX2" s="322">
        <f>TURNOVER!AV43</f>
        <v>45200</v>
      </c>
      <c r="AY2" s="322">
        <f>TURNOVER!AW43</f>
        <v>45231</v>
      </c>
      <c r="AZ2" s="322">
        <f>TURNOVER!AX43</f>
        <v>45261</v>
      </c>
      <c r="BA2" s="376">
        <f>TURNOVER!AY43</f>
        <v>45292</v>
      </c>
      <c r="BB2" s="377">
        <f>TURNOVER!AZ43</f>
        <v>45323</v>
      </c>
      <c r="BC2" s="377">
        <f>TURNOVER!BA43</f>
        <v>45352</v>
      </c>
      <c r="BD2" s="377">
        <f>TURNOVER!BB43</f>
        <v>45383</v>
      </c>
      <c r="BE2" s="377">
        <f>TURNOVER!BC43</f>
        <v>45413</v>
      </c>
      <c r="BF2" s="377">
        <f>TURNOVER!BD43</f>
        <v>45444</v>
      </c>
      <c r="BG2" s="377">
        <f>TURNOVER!BE43</f>
        <v>45474</v>
      </c>
      <c r="BH2" s="377">
        <f>TURNOVER!BF43</f>
        <v>45505</v>
      </c>
      <c r="BI2" s="377">
        <f>TURNOVER!BG43</f>
        <v>45536</v>
      </c>
      <c r="BJ2" s="377">
        <f>TURNOVER!BH43</f>
        <v>45566</v>
      </c>
      <c r="BK2" s="377">
        <f>TURNOVER!BI43</f>
        <v>45597</v>
      </c>
      <c r="BL2" s="378">
        <f>TURNOVER!BJ43</f>
        <v>45627</v>
      </c>
      <c r="BM2" s="322"/>
    </row>
    <row r="3" spans="1:65" ht="19" customHeight="1" outlineLevel="1" x14ac:dyDescent="0.25">
      <c r="A3" s="596">
        <v>1</v>
      </c>
      <c r="B3" s="601" t="s">
        <v>308</v>
      </c>
      <c r="C3" s="433" t="s">
        <v>497</v>
      </c>
      <c r="D3" s="405" t="s">
        <v>505</v>
      </c>
      <c r="E3" s="391">
        <f>'WEBSITES AUDIENCE'!B62</f>
        <v>195.97499999999999</v>
      </c>
      <c r="F3" s="330">
        <f>'WEBSITES AUDIENCE'!C62</f>
        <v>255.74250000000001</v>
      </c>
      <c r="G3" s="330">
        <f>'WEBSITES AUDIENCE'!D62</f>
        <v>295.22512499999999</v>
      </c>
      <c r="H3" s="330">
        <f>'WEBSITES AUDIENCE'!E62</f>
        <v>340.63014375</v>
      </c>
      <c r="I3" s="330">
        <f>'WEBSITES AUDIENCE'!F62</f>
        <v>392.84591531249998</v>
      </c>
      <c r="J3" s="330">
        <f>'WEBSITES AUDIENCE'!G62</f>
        <v>452.89405260937502</v>
      </c>
      <c r="K3" s="330">
        <f>'WEBSITES AUDIENCE'!H62</f>
        <v>61994.449410500783</v>
      </c>
      <c r="L3" s="330">
        <f>'WEBSITES AUDIENCE'!I62</f>
        <v>81272.188905409246</v>
      </c>
      <c r="M3" s="330">
        <f>'WEBSITES AUDIENCE'!J62</f>
        <v>106030.59807455396</v>
      </c>
      <c r="N3" s="330">
        <f>'WEBSITES AUDIENCE'!K62</f>
        <v>138385.0398690704</v>
      </c>
      <c r="O3" s="330">
        <f>'WEBSITES AUDIENCE'!L62</f>
        <v>180347.4028077643</v>
      </c>
      <c r="P3" s="331">
        <f>'WEBSITES AUDIENCE'!M62</f>
        <v>234784.62877476227</v>
      </c>
      <c r="Q3" s="330">
        <f>'WEBSITES AUDIENCE'!B71</f>
        <v>1249817.6707418098</v>
      </c>
      <c r="R3" s="330">
        <f>'WEBSITES AUDIENCE'!C71</f>
        <v>1256658.8309706855</v>
      </c>
      <c r="S3" s="330">
        <f>'WEBSITES AUDIENCE'!D71</f>
        <v>1263599.6256798301</v>
      </c>
      <c r="T3" s="330">
        <f>'WEBSITES AUDIENCE'!E71</f>
        <v>1270655.0000412839</v>
      </c>
      <c r="U3" s="330">
        <f>'WEBSITES AUDIENCE'!F71</f>
        <v>1277842.141002893</v>
      </c>
      <c r="V3" s="330">
        <f>'WEBSITES AUDIENCE'!G71</f>
        <v>1285180.8135546809</v>
      </c>
      <c r="W3" s="330">
        <f>'WEBSITES AUDIENCE'!H71</f>
        <v>1292693.7474351749</v>
      </c>
      <c r="X3" s="330">
        <f>'WEBSITES AUDIENCE'!I71</f>
        <v>1300407.0818436802</v>
      </c>
      <c r="Y3" s="330">
        <f>'WEBSITES AUDIENCE'!J71</f>
        <v>1308350.876859399</v>
      </c>
      <c r="Z3" s="330">
        <f>'WEBSITES AUDIENCE'!K71</f>
        <v>1316785.0728234129</v>
      </c>
      <c r="AA3" s="330">
        <f>'WEBSITES AUDIENCE'!L71</f>
        <v>1325333.6086279666</v>
      </c>
      <c r="AB3" s="330">
        <f>'WEBSITES AUDIENCE'!M71</f>
        <v>1334237.8852491409</v>
      </c>
      <c r="AC3" s="391">
        <f>'WEBSITES AUDIENCE'!N71</f>
        <v>2585114.2662531785</v>
      </c>
      <c r="AD3" s="330">
        <f>'WEBSITES AUDIENCE'!O71</f>
        <v>2601075.0424038637</v>
      </c>
      <c r="AE3" s="330">
        <f>'WEBSITES AUDIENCE'!P71</f>
        <v>2617576.8558690264</v>
      </c>
      <c r="AF3" s="330">
        <f>'WEBSITES AUDIENCE'!Q71</f>
        <v>2634700.8622458391</v>
      </c>
      <c r="AG3" s="330">
        <f>'WEBSITES AUDIENCE'!R71</f>
        <v>2652540.3904710482</v>
      </c>
      <c r="AH3" s="330">
        <f>'WEBSITES AUDIENCE'!S71</f>
        <v>2671202.7688219137</v>
      </c>
      <c r="AI3" s="330">
        <f>'WEBSITES AUDIENCE'!T71</f>
        <v>2690811.4248172841</v>
      </c>
      <c r="AJ3" s="330">
        <f>'WEBSITES AUDIENCE'!U71</f>
        <v>2711508.3001038348</v>
      </c>
      <c r="AK3" s="330">
        <f>'WEBSITES AUDIENCE'!V71</f>
        <v>2733456.6275752434</v>
      </c>
      <c r="AL3" s="330">
        <f>'WEBSITES AUDIENCE'!W71</f>
        <v>2756844.1250592386</v>
      </c>
      <c r="AM3" s="330">
        <f>'WEBSITES AUDIENCE'!X71</f>
        <v>2781886.6680577076</v>
      </c>
      <c r="AN3" s="331">
        <f>'WEBSITES AUDIENCE'!Y71</f>
        <v>2808832.5133978217</v>
      </c>
      <c r="AO3" s="330">
        <f>'WEBSITES AUDIENCE'!Z71</f>
        <v>4079530.1588745788</v>
      </c>
      <c r="AP3" s="330">
        <f>'WEBSITES AUDIENCE'!AA71</f>
        <v>4117358.8496148284</v>
      </c>
      <c r="AQ3" s="330">
        <f>'WEBSITES AUDIENCE'!AB71</f>
        <v>4158082.2253039279</v>
      </c>
      <c r="AR3" s="330">
        <f>'WEBSITES AUDIENCE'!AC71</f>
        <v>4202134.4886842044</v>
      </c>
      <c r="AS3" s="330">
        <f>'WEBSITES AUDIENCE'!AD71</f>
        <v>4250014.972909335</v>
      </c>
      <c r="AT3" s="330">
        <f>'WEBSITES AUDIENCE'!AE71</f>
        <v>4302297.9111060472</v>
      </c>
      <c r="AU3" s="330">
        <f>'WEBSITES AUDIENCE'!AF71</f>
        <v>4359643.6713700797</v>
      </c>
      <c r="AV3" s="330">
        <f>'WEBSITES AUDIENCE'!AG71</f>
        <v>4422811.677011529</v>
      </c>
      <c r="AW3" s="330">
        <f>'WEBSITES AUDIENCE'!AH71</f>
        <v>4492675.264837008</v>
      </c>
      <c r="AX3" s="330">
        <f>'WEBSITES AUDIENCE'!AI71</f>
        <v>4570238.7721741218</v>
      </c>
      <c r="AY3" s="330">
        <f>'WEBSITES AUDIENCE'!AJ71</f>
        <v>4656657.1869496154</v>
      </c>
      <c r="AZ3" s="330">
        <f>'WEBSITES AUDIENCE'!AK71</f>
        <v>4753258.7452792451</v>
      </c>
      <c r="BA3" s="391">
        <f>'WEBSITES AUDIENCE'!AL71</f>
        <v>5606508.7201623814</v>
      </c>
      <c r="BB3" s="330">
        <f>'WEBSITES AUDIENCE'!AM71</f>
        <v>5731994.2591458634</v>
      </c>
      <c r="BC3" s="330">
        <f>'WEBSITES AUDIENCE'!AN71</f>
        <v>5872967.0865822434</v>
      </c>
      <c r="BD3" s="330">
        <f>'WEBSITES AUDIENCE'!AO71</f>
        <v>6031975.666989455</v>
      </c>
      <c r="BE3" s="330">
        <f>'WEBSITES AUDIENCE'!AP71</f>
        <v>6211275.7420631228</v>
      </c>
      <c r="BF3" s="330">
        <f>'WEBSITES AUDIENCE'!AQ71</f>
        <v>6414135.2860032162</v>
      </c>
      <c r="BG3" s="330">
        <f>'WEBSITES AUDIENCE'!AR71</f>
        <v>6644088.219139698</v>
      </c>
      <c r="BH3" s="330">
        <f>'WEBSITES AUDIENCE'!AS71</f>
        <v>6905198.5498520276</v>
      </c>
      <c r="BI3" s="330">
        <f>'WEBSITES AUDIENCE'!AT71</f>
        <v>7202139.8877765825</v>
      </c>
      <c r="BJ3" s="330">
        <f>'WEBSITES AUDIENCE'!AU71</f>
        <v>7540286.883995194</v>
      </c>
      <c r="BK3" s="330">
        <f>'WEBSITES AUDIENCE'!AV71</f>
        <v>7925820.3872519732</v>
      </c>
      <c r="BL3" s="331">
        <f>'WEBSITES AUDIENCE'!AW71</f>
        <v>8365848.3736026445</v>
      </c>
    </row>
    <row r="4" spans="1:65" x14ac:dyDescent="0.25">
      <c r="A4" s="597"/>
      <c r="B4" s="602"/>
      <c r="C4" s="368" t="s">
        <v>498</v>
      </c>
      <c r="D4" s="402" t="s">
        <v>505</v>
      </c>
      <c r="E4" s="381">
        <v>20000</v>
      </c>
      <c r="F4" s="324">
        <v>20000</v>
      </c>
      <c r="G4" s="324">
        <v>20000</v>
      </c>
      <c r="H4" s="324">
        <v>10000</v>
      </c>
      <c r="I4" s="324"/>
      <c r="J4" s="324"/>
      <c r="K4" s="324"/>
      <c r="L4" s="324"/>
      <c r="M4" s="324"/>
      <c r="N4" s="324"/>
      <c r="O4" s="324"/>
      <c r="P4" s="332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81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32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81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32"/>
    </row>
    <row r="5" spans="1:65" x14ac:dyDescent="0.25">
      <c r="A5" s="597"/>
      <c r="B5" s="602"/>
      <c r="C5" s="370" t="s">
        <v>507</v>
      </c>
      <c r="D5" s="403" t="s">
        <v>499</v>
      </c>
      <c r="E5" s="382">
        <f>(E4-E3)/E3</f>
        <v>101.05383339711699</v>
      </c>
      <c r="F5" s="371">
        <f t="shared" ref="F5:BL5" si="0">(F4-F3)/F3</f>
        <v>77.203661886467827</v>
      </c>
      <c r="G5" s="371">
        <f t="shared" si="0"/>
        <v>66.74491161617766</v>
      </c>
      <c r="H5" s="371">
        <f t="shared" si="0"/>
        <v>28.357354842146144</v>
      </c>
      <c r="I5" s="371">
        <f t="shared" si="0"/>
        <v>-1</v>
      </c>
      <c r="J5" s="371">
        <f t="shared" si="0"/>
        <v>-1</v>
      </c>
      <c r="K5" s="371">
        <f t="shared" si="0"/>
        <v>-1</v>
      </c>
      <c r="L5" s="371">
        <f t="shared" si="0"/>
        <v>-1</v>
      </c>
      <c r="M5" s="371">
        <f t="shared" si="0"/>
        <v>-1</v>
      </c>
      <c r="N5" s="371">
        <f t="shared" si="0"/>
        <v>-1</v>
      </c>
      <c r="O5" s="371">
        <f t="shared" si="0"/>
        <v>-1</v>
      </c>
      <c r="P5" s="383">
        <f t="shared" si="0"/>
        <v>-1</v>
      </c>
      <c r="Q5" s="371">
        <f t="shared" si="0"/>
        <v>-1</v>
      </c>
      <c r="R5" s="371">
        <f t="shared" si="0"/>
        <v>-1</v>
      </c>
      <c r="S5" s="371">
        <f t="shared" si="0"/>
        <v>-1</v>
      </c>
      <c r="T5" s="371">
        <f t="shared" si="0"/>
        <v>-1</v>
      </c>
      <c r="U5" s="371">
        <f t="shared" si="0"/>
        <v>-1</v>
      </c>
      <c r="V5" s="371">
        <f t="shared" si="0"/>
        <v>-1</v>
      </c>
      <c r="W5" s="371">
        <f t="shared" si="0"/>
        <v>-1</v>
      </c>
      <c r="X5" s="371">
        <f t="shared" si="0"/>
        <v>-1</v>
      </c>
      <c r="Y5" s="371">
        <f t="shared" si="0"/>
        <v>-1</v>
      </c>
      <c r="Z5" s="371">
        <f t="shared" si="0"/>
        <v>-1</v>
      </c>
      <c r="AA5" s="371">
        <f t="shared" si="0"/>
        <v>-1</v>
      </c>
      <c r="AB5" s="371">
        <f t="shared" si="0"/>
        <v>-1</v>
      </c>
      <c r="AC5" s="382">
        <f t="shared" si="0"/>
        <v>-1</v>
      </c>
      <c r="AD5" s="371">
        <f t="shared" si="0"/>
        <v>-1</v>
      </c>
      <c r="AE5" s="371">
        <f t="shared" si="0"/>
        <v>-1</v>
      </c>
      <c r="AF5" s="371">
        <f t="shared" si="0"/>
        <v>-1</v>
      </c>
      <c r="AG5" s="371">
        <f t="shared" si="0"/>
        <v>-1</v>
      </c>
      <c r="AH5" s="371">
        <f t="shared" si="0"/>
        <v>-1</v>
      </c>
      <c r="AI5" s="371">
        <f t="shared" si="0"/>
        <v>-1</v>
      </c>
      <c r="AJ5" s="371">
        <f t="shared" si="0"/>
        <v>-1</v>
      </c>
      <c r="AK5" s="371">
        <f t="shared" si="0"/>
        <v>-1</v>
      </c>
      <c r="AL5" s="371">
        <f t="shared" si="0"/>
        <v>-1</v>
      </c>
      <c r="AM5" s="371">
        <f t="shared" si="0"/>
        <v>-1</v>
      </c>
      <c r="AN5" s="383">
        <f t="shared" si="0"/>
        <v>-1</v>
      </c>
      <c r="AO5" s="371">
        <f t="shared" si="0"/>
        <v>-1</v>
      </c>
      <c r="AP5" s="371">
        <f t="shared" si="0"/>
        <v>-1</v>
      </c>
      <c r="AQ5" s="371">
        <f t="shared" si="0"/>
        <v>-1</v>
      </c>
      <c r="AR5" s="371">
        <f t="shared" si="0"/>
        <v>-1</v>
      </c>
      <c r="AS5" s="371">
        <f t="shared" si="0"/>
        <v>-1</v>
      </c>
      <c r="AT5" s="371">
        <f t="shared" si="0"/>
        <v>-1</v>
      </c>
      <c r="AU5" s="371">
        <f t="shared" si="0"/>
        <v>-1</v>
      </c>
      <c r="AV5" s="371">
        <f t="shared" si="0"/>
        <v>-1</v>
      </c>
      <c r="AW5" s="371">
        <f t="shared" si="0"/>
        <v>-1</v>
      </c>
      <c r="AX5" s="371">
        <f t="shared" si="0"/>
        <v>-1</v>
      </c>
      <c r="AY5" s="371">
        <f t="shared" si="0"/>
        <v>-1</v>
      </c>
      <c r="AZ5" s="371">
        <f t="shared" si="0"/>
        <v>-1</v>
      </c>
      <c r="BA5" s="382">
        <f t="shared" si="0"/>
        <v>-1</v>
      </c>
      <c r="BB5" s="371">
        <f t="shared" si="0"/>
        <v>-1</v>
      </c>
      <c r="BC5" s="371">
        <f t="shared" si="0"/>
        <v>-1</v>
      </c>
      <c r="BD5" s="371">
        <f t="shared" si="0"/>
        <v>-1</v>
      </c>
      <c r="BE5" s="371">
        <f t="shared" si="0"/>
        <v>-1</v>
      </c>
      <c r="BF5" s="371">
        <f t="shared" si="0"/>
        <v>-1</v>
      </c>
      <c r="BG5" s="371">
        <f t="shared" si="0"/>
        <v>-1</v>
      </c>
      <c r="BH5" s="371">
        <f t="shared" si="0"/>
        <v>-1</v>
      </c>
      <c r="BI5" s="371">
        <f t="shared" si="0"/>
        <v>-1</v>
      </c>
      <c r="BJ5" s="371">
        <f t="shared" si="0"/>
        <v>-1</v>
      </c>
      <c r="BK5" s="371">
        <f t="shared" si="0"/>
        <v>-1</v>
      </c>
      <c r="BL5" s="383">
        <f t="shared" si="0"/>
        <v>-1</v>
      </c>
    </row>
    <row r="6" spans="1:65" x14ac:dyDescent="0.25">
      <c r="A6" s="597"/>
      <c r="B6" s="602"/>
      <c r="C6" s="366" t="s">
        <v>497</v>
      </c>
      <c r="D6" s="401" t="s">
        <v>506</v>
      </c>
      <c r="E6" s="379">
        <f>E3</f>
        <v>195.97499999999999</v>
      </c>
      <c r="F6" s="367">
        <f>E6+F3</f>
        <v>451.71749999999997</v>
      </c>
      <c r="G6" s="367">
        <f t="shared" ref="G6:BL6" si="1">F6+G3</f>
        <v>746.94262499999991</v>
      </c>
      <c r="H6" s="367">
        <f t="shared" si="1"/>
        <v>1087.5727687499998</v>
      </c>
      <c r="I6" s="367">
        <f t="shared" si="1"/>
        <v>1480.4186840624998</v>
      </c>
      <c r="J6" s="367">
        <f t="shared" si="1"/>
        <v>1933.3127366718747</v>
      </c>
      <c r="K6" s="367">
        <f t="shared" si="1"/>
        <v>63927.76214717266</v>
      </c>
      <c r="L6" s="367">
        <f t="shared" si="1"/>
        <v>145199.95105258189</v>
      </c>
      <c r="M6" s="367">
        <f t="shared" si="1"/>
        <v>251230.54912713583</v>
      </c>
      <c r="N6" s="367">
        <f t="shared" si="1"/>
        <v>389615.58899620624</v>
      </c>
      <c r="O6" s="367">
        <f t="shared" si="1"/>
        <v>569962.99180397054</v>
      </c>
      <c r="P6" s="380">
        <f t="shared" si="1"/>
        <v>804747.62057873281</v>
      </c>
      <c r="Q6" s="367">
        <f t="shared" si="1"/>
        <v>2054565.2913205426</v>
      </c>
      <c r="R6" s="367">
        <f t="shared" si="1"/>
        <v>3311224.1222912278</v>
      </c>
      <c r="S6" s="367">
        <f t="shared" si="1"/>
        <v>4574823.7479710579</v>
      </c>
      <c r="T6" s="367">
        <f t="shared" si="1"/>
        <v>5845478.7480123416</v>
      </c>
      <c r="U6" s="367">
        <f t="shared" si="1"/>
        <v>7123320.889015235</v>
      </c>
      <c r="V6" s="367">
        <f t="shared" si="1"/>
        <v>8408501.7025699168</v>
      </c>
      <c r="W6" s="367">
        <f t="shared" si="1"/>
        <v>9701195.4500050917</v>
      </c>
      <c r="X6" s="367">
        <f t="shared" si="1"/>
        <v>11001602.531848771</v>
      </c>
      <c r="Y6" s="367">
        <f t="shared" si="1"/>
        <v>12309953.40870817</v>
      </c>
      <c r="Z6" s="367">
        <f t="shared" si="1"/>
        <v>13626738.481531583</v>
      </c>
      <c r="AA6" s="367">
        <f t="shared" si="1"/>
        <v>14952072.09015955</v>
      </c>
      <c r="AB6" s="367">
        <f t="shared" si="1"/>
        <v>16286309.975408692</v>
      </c>
      <c r="AC6" s="379">
        <f t="shared" si="1"/>
        <v>18871424.241661869</v>
      </c>
      <c r="AD6" s="367">
        <f t="shared" si="1"/>
        <v>21472499.284065731</v>
      </c>
      <c r="AE6" s="367">
        <f t="shared" si="1"/>
        <v>24090076.139934756</v>
      </c>
      <c r="AF6" s="367">
        <f t="shared" si="1"/>
        <v>26724777.002180595</v>
      </c>
      <c r="AG6" s="367">
        <f t="shared" si="1"/>
        <v>29377317.392651644</v>
      </c>
      <c r="AH6" s="367">
        <f t="shared" si="1"/>
        <v>32048520.161473557</v>
      </c>
      <c r="AI6" s="367">
        <f t="shared" si="1"/>
        <v>34739331.586290844</v>
      </c>
      <c r="AJ6" s="367">
        <f t="shared" si="1"/>
        <v>37450839.88639468</v>
      </c>
      <c r="AK6" s="367">
        <f t="shared" si="1"/>
        <v>40184296.513969921</v>
      </c>
      <c r="AL6" s="367">
        <f t="shared" si="1"/>
        <v>42941140.63902916</v>
      </c>
      <c r="AM6" s="367">
        <f t="shared" si="1"/>
        <v>45723027.30708687</v>
      </c>
      <c r="AN6" s="380">
        <f t="shared" si="1"/>
        <v>48531859.82048469</v>
      </c>
      <c r="AO6" s="367">
        <f t="shared" si="1"/>
        <v>52611389.979359269</v>
      </c>
      <c r="AP6" s="367">
        <f t="shared" si="1"/>
        <v>56728748.828974098</v>
      </c>
      <c r="AQ6" s="367">
        <f t="shared" si="1"/>
        <v>60886831.054278024</v>
      </c>
      <c r="AR6" s="367">
        <f t="shared" si="1"/>
        <v>65088965.542962231</v>
      </c>
      <c r="AS6" s="367">
        <f t="shared" si="1"/>
        <v>69338980.51587157</v>
      </c>
      <c r="AT6" s="367">
        <f t="shared" si="1"/>
        <v>73641278.42697762</v>
      </c>
      <c r="AU6" s="367">
        <f t="shared" si="1"/>
        <v>78000922.098347694</v>
      </c>
      <c r="AV6" s="367">
        <f t="shared" si="1"/>
        <v>82423733.775359228</v>
      </c>
      <c r="AW6" s="367">
        <f t="shared" si="1"/>
        <v>86916409.04019624</v>
      </c>
      <c r="AX6" s="367">
        <f t="shared" si="1"/>
        <v>91486647.81237036</v>
      </c>
      <c r="AY6" s="367">
        <f t="shared" si="1"/>
        <v>96143304.999319971</v>
      </c>
      <c r="AZ6" s="367">
        <f t="shared" si="1"/>
        <v>100896563.74459922</v>
      </c>
      <c r="BA6" s="379">
        <f t="shared" si="1"/>
        <v>106503072.4647616</v>
      </c>
      <c r="BB6" s="367">
        <f t="shared" si="1"/>
        <v>112235066.72390747</v>
      </c>
      <c r="BC6" s="367">
        <f t="shared" si="1"/>
        <v>118108033.81048971</v>
      </c>
      <c r="BD6" s="367">
        <f t="shared" si="1"/>
        <v>124140009.47747917</v>
      </c>
      <c r="BE6" s="367">
        <f t="shared" si="1"/>
        <v>130351285.21954229</v>
      </c>
      <c r="BF6" s="367">
        <f t="shared" si="1"/>
        <v>136765420.5055455</v>
      </c>
      <c r="BG6" s="367">
        <f t="shared" si="1"/>
        <v>143409508.72468519</v>
      </c>
      <c r="BH6" s="367">
        <f t="shared" si="1"/>
        <v>150314707.27453721</v>
      </c>
      <c r="BI6" s="367">
        <f t="shared" si="1"/>
        <v>157516847.16231379</v>
      </c>
      <c r="BJ6" s="367">
        <f t="shared" si="1"/>
        <v>165057134.04630899</v>
      </c>
      <c r="BK6" s="367">
        <f t="shared" si="1"/>
        <v>172982954.43356097</v>
      </c>
      <c r="BL6" s="380">
        <f t="shared" si="1"/>
        <v>181348802.80716363</v>
      </c>
    </row>
    <row r="7" spans="1:65" x14ac:dyDescent="0.25">
      <c r="A7" s="597"/>
      <c r="B7" s="602"/>
      <c r="C7" s="368" t="s">
        <v>498</v>
      </c>
      <c r="D7" s="402" t="s">
        <v>506</v>
      </c>
      <c r="E7" s="384">
        <f>E4</f>
        <v>20000</v>
      </c>
      <c r="F7" s="328">
        <f>E7+F4</f>
        <v>40000</v>
      </c>
      <c r="G7" s="328">
        <f t="shared" ref="G7:BL7" si="2">F7+G4</f>
        <v>60000</v>
      </c>
      <c r="H7" s="328">
        <f t="shared" si="2"/>
        <v>70000</v>
      </c>
      <c r="I7" s="328">
        <f t="shared" si="2"/>
        <v>70000</v>
      </c>
      <c r="J7" s="328">
        <f t="shared" si="2"/>
        <v>70000</v>
      </c>
      <c r="K7" s="328">
        <f t="shared" si="2"/>
        <v>70000</v>
      </c>
      <c r="L7" s="328">
        <f t="shared" si="2"/>
        <v>70000</v>
      </c>
      <c r="M7" s="328">
        <f t="shared" si="2"/>
        <v>70000</v>
      </c>
      <c r="N7" s="328">
        <f t="shared" si="2"/>
        <v>70000</v>
      </c>
      <c r="O7" s="328">
        <f t="shared" si="2"/>
        <v>70000</v>
      </c>
      <c r="P7" s="335">
        <f t="shared" si="2"/>
        <v>70000</v>
      </c>
      <c r="Q7" s="328">
        <f t="shared" si="2"/>
        <v>70000</v>
      </c>
      <c r="R7" s="328">
        <f t="shared" si="2"/>
        <v>70000</v>
      </c>
      <c r="S7" s="328">
        <f t="shared" si="2"/>
        <v>70000</v>
      </c>
      <c r="T7" s="328">
        <f t="shared" si="2"/>
        <v>70000</v>
      </c>
      <c r="U7" s="328">
        <f t="shared" si="2"/>
        <v>70000</v>
      </c>
      <c r="V7" s="328">
        <f t="shared" si="2"/>
        <v>70000</v>
      </c>
      <c r="W7" s="328">
        <f t="shared" si="2"/>
        <v>70000</v>
      </c>
      <c r="X7" s="328">
        <f t="shared" si="2"/>
        <v>70000</v>
      </c>
      <c r="Y7" s="328">
        <f t="shared" si="2"/>
        <v>70000</v>
      </c>
      <c r="Z7" s="328">
        <f t="shared" si="2"/>
        <v>70000</v>
      </c>
      <c r="AA7" s="328">
        <f t="shared" si="2"/>
        <v>70000</v>
      </c>
      <c r="AB7" s="328">
        <f t="shared" si="2"/>
        <v>70000</v>
      </c>
      <c r="AC7" s="384">
        <f t="shared" si="2"/>
        <v>70000</v>
      </c>
      <c r="AD7" s="328">
        <f t="shared" si="2"/>
        <v>70000</v>
      </c>
      <c r="AE7" s="328">
        <f t="shared" si="2"/>
        <v>70000</v>
      </c>
      <c r="AF7" s="328">
        <f t="shared" si="2"/>
        <v>70000</v>
      </c>
      <c r="AG7" s="328">
        <f t="shared" si="2"/>
        <v>70000</v>
      </c>
      <c r="AH7" s="328">
        <f t="shared" si="2"/>
        <v>70000</v>
      </c>
      <c r="AI7" s="328">
        <f t="shared" si="2"/>
        <v>70000</v>
      </c>
      <c r="AJ7" s="328">
        <f t="shared" si="2"/>
        <v>70000</v>
      </c>
      <c r="AK7" s="328">
        <f t="shared" si="2"/>
        <v>70000</v>
      </c>
      <c r="AL7" s="328">
        <f t="shared" si="2"/>
        <v>70000</v>
      </c>
      <c r="AM7" s="328">
        <f t="shared" si="2"/>
        <v>70000</v>
      </c>
      <c r="AN7" s="335">
        <f t="shared" si="2"/>
        <v>70000</v>
      </c>
      <c r="AO7" s="328">
        <f t="shared" si="2"/>
        <v>70000</v>
      </c>
      <c r="AP7" s="328">
        <f t="shared" si="2"/>
        <v>70000</v>
      </c>
      <c r="AQ7" s="328">
        <f t="shared" si="2"/>
        <v>70000</v>
      </c>
      <c r="AR7" s="328">
        <f t="shared" si="2"/>
        <v>70000</v>
      </c>
      <c r="AS7" s="328">
        <f t="shared" si="2"/>
        <v>70000</v>
      </c>
      <c r="AT7" s="328">
        <f t="shared" si="2"/>
        <v>70000</v>
      </c>
      <c r="AU7" s="328">
        <f t="shared" si="2"/>
        <v>70000</v>
      </c>
      <c r="AV7" s="328">
        <f t="shared" si="2"/>
        <v>70000</v>
      </c>
      <c r="AW7" s="328">
        <f t="shared" si="2"/>
        <v>70000</v>
      </c>
      <c r="AX7" s="328">
        <f t="shared" si="2"/>
        <v>70000</v>
      </c>
      <c r="AY7" s="328">
        <f t="shared" si="2"/>
        <v>70000</v>
      </c>
      <c r="AZ7" s="328">
        <f t="shared" si="2"/>
        <v>70000</v>
      </c>
      <c r="BA7" s="384">
        <f t="shared" si="2"/>
        <v>70000</v>
      </c>
      <c r="BB7" s="328">
        <f t="shared" si="2"/>
        <v>70000</v>
      </c>
      <c r="BC7" s="328">
        <f t="shared" si="2"/>
        <v>70000</v>
      </c>
      <c r="BD7" s="328">
        <f t="shared" si="2"/>
        <v>70000</v>
      </c>
      <c r="BE7" s="328">
        <f t="shared" si="2"/>
        <v>70000</v>
      </c>
      <c r="BF7" s="328">
        <f t="shared" si="2"/>
        <v>70000</v>
      </c>
      <c r="BG7" s="328">
        <f t="shared" si="2"/>
        <v>70000</v>
      </c>
      <c r="BH7" s="328">
        <f t="shared" si="2"/>
        <v>70000</v>
      </c>
      <c r="BI7" s="328">
        <f t="shared" si="2"/>
        <v>70000</v>
      </c>
      <c r="BJ7" s="328">
        <f t="shared" si="2"/>
        <v>70000</v>
      </c>
      <c r="BK7" s="328">
        <f t="shared" si="2"/>
        <v>70000</v>
      </c>
      <c r="BL7" s="335">
        <f t="shared" si="2"/>
        <v>70000</v>
      </c>
    </row>
    <row r="8" spans="1:65" x14ac:dyDescent="0.25">
      <c r="A8" s="597"/>
      <c r="B8" s="602"/>
      <c r="C8" s="370" t="s">
        <v>507</v>
      </c>
      <c r="D8" s="403" t="s">
        <v>499</v>
      </c>
      <c r="E8" s="382">
        <f>(E7-E6)/E6</f>
        <v>101.05383339711699</v>
      </c>
      <c r="F8" s="371">
        <f t="shared" ref="F8:BL8" si="3">(F7-F6)/F6</f>
        <v>87.550919545955168</v>
      </c>
      <c r="G8" s="371">
        <f t="shared" si="3"/>
        <v>79.327454869776645</v>
      </c>
      <c r="H8" s="371">
        <f t="shared" si="3"/>
        <v>63.363509285410295</v>
      </c>
      <c r="I8" s="371">
        <f t="shared" si="3"/>
        <v>46.283920929658272</v>
      </c>
      <c r="J8" s="371">
        <f t="shared" si="3"/>
        <v>35.207282284035628</v>
      </c>
      <c r="K8" s="371">
        <f t="shared" si="3"/>
        <v>9.4985928630631683E-2</v>
      </c>
      <c r="L8" s="371">
        <f t="shared" si="3"/>
        <v>-0.51790617357267155</v>
      </c>
      <c r="M8" s="371">
        <f t="shared" si="3"/>
        <v>-0.72137146440508582</v>
      </c>
      <c r="N8" s="371">
        <f t="shared" si="3"/>
        <v>-0.82033573096922052</v>
      </c>
      <c r="O8" s="371">
        <f t="shared" si="3"/>
        <v>-0.8771850084889804</v>
      </c>
      <c r="P8" s="383">
        <f t="shared" si="3"/>
        <v>-0.91301620755379231</v>
      </c>
      <c r="Q8" s="371">
        <f t="shared" si="3"/>
        <v>-0.96592953249248725</v>
      </c>
      <c r="R8" s="371">
        <f t="shared" si="3"/>
        <v>-0.97885978193721213</v>
      </c>
      <c r="S8" s="371">
        <f t="shared" si="3"/>
        <v>-0.98469886407513618</v>
      </c>
      <c r="T8" s="371">
        <f t="shared" si="3"/>
        <v>-0.98802493294089855</v>
      </c>
      <c r="U8" s="371">
        <f t="shared" si="3"/>
        <v>-0.99017312274841562</v>
      </c>
      <c r="V8" s="371">
        <f t="shared" si="3"/>
        <v>-0.99167509236769191</v>
      </c>
      <c r="W8" s="371">
        <f t="shared" si="3"/>
        <v>-0.99278439442223965</v>
      </c>
      <c r="X8" s="371">
        <f t="shared" si="3"/>
        <v>-0.99363729058586192</v>
      </c>
      <c r="Y8" s="371">
        <f t="shared" si="3"/>
        <v>-0.99431354468405364</v>
      </c>
      <c r="Z8" s="371">
        <f t="shared" si="3"/>
        <v>-0.99486304077128418</v>
      </c>
      <c r="AA8" s="371">
        <f t="shared" si="3"/>
        <v>-0.99531837463209738</v>
      </c>
      <c r="AB8" s="371">
        <f t="shared" si="3"/>
        <v>-0.99570191159902421</v>
      </c>
      <c r="AC8" s="382">
        <f t="shared" si="3"/>
        <v>-0.9962906880210205</v>
      </c>
      <c r="AD8" s="371">
        <f t="shared" si="3"/>
        <v>-0.99674001619122443</v>
      </c>
      <c r="AE8" s="371">
        <f t="shared" si="3"/>
        <v>-0.99709423915502038</v>
      </c>
      <c r="AF8" s="371">
        <f t="shared" si="3"/>
        <v>-0.99738070779807486</v>
      </c>
      <c r="AG8" s="371">
        <f t="shared" si="3"/>
        <v>-0.99761720925486852</v>
      </c>
      <c r="AH8" s="371">
        <f t="shared" si="3"/>
        <v>-0.99781581178640044</v>
      </c>
      <c r="AI8" s="371">
        <f t="shared" si="3"/>
        <v>-0.99798499289411702</v>
      </c>
      <c r="AJ8" s="371">
        <f t="shared" si="3"/>
        <v>-0.99813088303994402</v>
      </c>
      <c r="AK8" s="371">
        <f t="shared" si="3"/>
        <v>-0.99825802599342095</v>
      </c>
      <c r="AL8" s="371">
        <f t="shared" si="3"/>
        <v>-0.99836986165345643</v>
      </c>
      <c r="AM8" s="371">
        <f t="shared" si="3"/>
        <v>-0.99846904275323101</v>
      </c>
      <c r="AN8" s="383">
        <f t="shared" si="3"/>
        <v>-0.99855764851668727</v>
      </c>
      <c r="AO8" s="371">
        <f t="shared" si="3"/>
        <v>-0.99866948962900504</v>
      </c>
      <c r="AP8" s="371">
        <f t="shared" si="3"/>
        <v>-0.99876605774946603</v>
      </c>
      <c r="AQ8" s="371">
        <f t="shared" si="3"/>
        <v>-0.99885032610848812</v>
      </c>
      <c r="AR8" s="371">
        <f t="shared" si="3"/>
        <v>-0.99892454889371696</v>
      </c>
      <c r="AS8" s="371">
        <f t="shared" si="3"/>
        <v>-0.99899046684160608</v>
      </c>
      <c r="AT8" s="371">
        <f t="shared" si="3"/>
        <v>-0.99904944615988145</v>
      </c>
      <c r="AU8" s="371">
        <f t="shared" si="3"/>
        <v>-0.99910257471172281</v>
      </c>
      <c r="AV8" s="371">
        <f t="shared" si="3"/>
        <v>-0.99915073005318122</v>
      </c>
      <c r="AW8" s="371">
        <f t="shared" si="3"/>
        <v>-0.99919462848531138</v>
      </c>
      <c r="AX8" s="371">
        <f t="shared" si="3"/>
        <v>-0.99923486102427139</v>
      </c>
      <c r="AY8" s="371">
        <f t="shared" si="3"/>
        <v>-0.99927192018206057</v>
      </c>
      <c r="AZ8" s="371">
        <f t="shared" si="3"/>
        <v>-0.99930622017834825</v>
      </c>
      <c r="BA8" s="382">
        <f t="shared" si="3"/>
        <v>-0.99934274196621731</v>
      </c>
      <c r="BB8" s="371">
        <f t="shared" si="3"/>
        <v>-0.99937630900891072</v>
      </c>
      <c r="BC8" s="371">
        <f t="shared" si="3"/>
        <v>-0.99940732228162976</v>
      </c>
      <c r="BD8" s="371">
        <f t="shared" si="3"/>
        <v>-0.99943612055215203</v>
      </c>
      <c r="BE8" s="371">
        <f t="shared" si="3"/>
        <v>-0.99946298956790414</v>
      </c>
      <c r="BF8" s="371">
        <f t="shared" si="3"/>
        <v>-0.99948817471740115</v>
      </c>
      <c r="BG8" s="371">
        <f t="shared" si="3"/>
        <v>-0.99951188731749729</v>
      </c>
      <c r="BH8" s="371">
        <f t="shared" si="3"/>
        <v>-0.99953431037275575</v>
      </c>
      <c r="BI8" s="371">
        <f t="shared" si="3"/>
        <v>-0.99955560309096414</v>
      </c>
      <c r="BJ8" s="371">
        <f t="shared" si="3"/>
        <v>-0.99957590442603739</v>
      </c>
      <c r="BK8" s="371">
        <f t="shared" si="3"/>
        <v>-0.9995953358512738</v>
      </c>
      <c r="BL8" s="383">
        <f t="shared" si="3"/>
        <v>-0.99961400351744023</v>
      </c>
    </row>
    <row r="9" spans="1:65" x14ac:dyDescent="0.25">
      <c r="A9" s="597"/>
      <c r="B9" s="602"/>
      <c r="C9" s="323"/>
      <c r="D9" s="402" t="s">
        <v>500</v>
      </c>
      <c r="E9" s="385">
        <f>IF(E5&gt;0,E5,NA())</f>
        <v>101.05383339711699</v>
      </c>
      <c r="F9" s="326">
        <f t="shared" ref="F9:BL9" si="4">IF(F5&gt;0,F5,NA())</f>
        <v>77.203661886467827</v>
      </c>
      <c r="G9" s="326">
        <f t="shared" si="4"/>
        <v>66.74491161617766</v>
      </c>
      <c r="H9" s="326">
        <f t="shared" si="4"/>
        <v>28.357354842146144</v>
      </c>
      <c r="I9" s="326" t="e">
        <f t="shared" si="4"/>
        <v>#N/A</v>
      </c>
      <c r="J9" s="326" t="e">
        <f t="shared" si="4"/>
        <v>#N/A</v>
      </c>
      <c r="K9" s="326" t="e">
        <f t="shared" si="4"/>
        <v>#N/A</v>
      </c>
      <c r="L9" s="326" t="e">
        <f t="shared" si="4"/>
        <v>#N/A</v>
      </c>
      <c r="M9" s="326" t="e">
        <f t="shared" si="4"/>
        <v>#N/A</v>
      </c>
      <c r="N9" s="326" t="e">
        <f t="shared" si="4"/>
        <v>#N/A</v>
      </c>
      <c r="O9" s="326" t="e">
        <f t="shared" si="4"/>
        <v>#N/A</v>
      </c>
      <c r="P9" s="333" t="e">
        <f t="shared" si="4"/>
        <v>#N/A</v>
      </c>
      <c r="Q9" s="326" t="e">
        <f t="shared" si="4"/>
        <v>#N/A</v>
      </c>
      <c r="R9" s="326" t="e">
        <f t="shared" si="4"/>
        <v>#N/A</v>
      </c>
      <c r="S9" s="326" t="e">
        <f t="shared" si="4"/>
        <v>#N/A</v>
      </c>
      <c r="T9" s="326" t="e">
        <f t="shared" si="4"/>
        <v>#N/A</v>
      </c>
      <c r="U9" s="326" t="e">
        <f t="shared" si="4"/>
        <v>#N/A</v>
      </c>
      <c r="V9" s="326" t="e">
        <f t="shared" si="4"/>
        <v>#N/A</v>
      </c>
      <c r="W9" s="326" t="e">
        <f t="shared" si="4"/>
        <v>#N/A</v>
      </c>
      <c r="X9" s="326" t="e">
        <f t="shared" si="4"/>
        <v>#N/A</v>
      </c>
      <c r="Y9" s="326" t="e">
        <f t="shared" si="4"/>
        <v>#N/A</v>
      </c>
      <c r="Z9" s="326" t="e">
        <f t="shared" si="4"/>
        <v>#N/A</v>
      </c>
      <c r="AA9" s="326" t="e">
        <f t="shared" si="4"/>
        <v>#N/A</v>
      </c>
      <c r="AB9" s="326" t="e">
        <f t="shared" si="4"/>
        <v>#N/A</v>
      </c>
      <c r="AC9" s="385" t="e">
        <f t="shared" si="4"/>
        <v>#N/A</v>
      </c>
      <c r="AD9" s="326" t="e">
        <f t="shared" si="4"/>
        <v>#N/A</v>
      </c>
      <c r="AE9" s="326" t="e">
        <f t="shared" si="4"/>
        <v>#N/A</v>
      </c>
      <c r="AF9" s="326" t="e">
        <f t="shared" si="4"/>
        <v>#N/A</v>
      </c>
      <c r="AG9" s="326" t="e">
        <f t="shared" si="4"/>
        <v>#N/A</v>
      </c>
      <c r="AH9" s="326" t="e">
        <f t="shared" si="4"/>
        <v>#N/A</v>
      </c>
      <c r="AI9" s="326" t="e">
        <f t="shared" si="4"/>
        <v>#N/A</v>
      </c>
      <c r="AJ9" s="326" t="e">
        <f t="shared" si="4"/>
        <v>#N/A</v>
      </c>
      <c r="AK9" s="326" t="e">
        <f t="shared" si="4"/>
        <v>#N/A</v>
      </c>
      <c r="AL9" s="326" t="e">
        <f t="shared" si="4"/>
        <v>#N/A</v>
      </c>
      <c r="AM9" s="326" t="e">
        <f t="shared" si="4"/>
        <v>#N/A</v>
      </c>
      <c r="AN9" s="333" t="e">
        <f t="shared" si="4"/>
        <v>#N/A</v>
      </c>
      <c r="AO9" s="326" t="e">
        <f t="shared" si="4"/>
        <v>#N/A</v>
      </c>
      <c r="AP9" s="326" t="e">
        <f t="shared" si="4"/>
        <v>#N/A</v>
      </c>
      <c r="AQ9" s="326" t="e">
        <f t="shared" si="4"/>
        <v>#N/A</v>
      </c>
      <c r="AR9" s="326" t="e">
        <f t="shared" si="4"/>
        <v>#N/A</v>
      </c>
      <c r="AS9" s="326" t="e">
        <f t="shared" si="4"/>
        <v>#N/A</v>
      </c>
      <c r="AT9" s="326" t="e">
        <f t="shared" si="4"/>
        <v>#N/A</v>
      </c>
      <c r="AU9" s="326" t="e">
        <f t="shared" si="4"/>
        <v>#N/A</v>
      </c>
      <c r="AV9" s="326" t="e">
        <f t="shared" si="4"/>
        <v>#N/A</v>
      </c>
      <c r="AW9" s="326" t="e">
        <f t="shared" si="4"/>
        <v>#N/A</v>
      </c>
      <c r="AX9" s="326" t="e">
        <f t="shared" si="4"/>
        <v>#N/A</v>
      </c>
      <c r="AY9" s="326" t="e">
        <f t="shared" si="4"/>
        <v>#N/A</v>
      </c>
      <c r="AZ9" s="326" t="e">
        <f t="shared" si="4"/>
        <v>#N/A</v>
      </c>
      <c r="BA9" s="385" t="e">
        <f t="shared" si="4"/>
        <v>#N/A</v>
      </c>
      <c r="BB9" s="326" t="e">
        <f t="shared" si="4"/>
        <v>#N/A</v>
      </c>
      <c r="BC9" s="326" t="e">
        <f t="shared" si="4"/>
        <v>#N/A</v>
      </c>
      <c r="BD9" s="326" t="e">
        <f t="shared" si="4"/>
        <v>#N/A</v>
      </c>
      <c r="BE9" s="326" t="e">
        <f t="shared" si="4"/>
        <v>#N/A</v>
      </c>
      <c r="BF9" s="326" t="e">
        <f t="shared" si="4"/>
        <v>#N/A</v>
      </c>
      <c r="BG9" s="326" t="e">
        <f t="shared" si="4"/>
        <v>#N/A</v>
      </c>
      <c r="BH9" s="326" t="e">
        <f t="shared" si="4"/>
        <v>#N/A</v>
      </c>
      <c r="BI9" s="326" t="e">
        <f t="shared" si="4"/>
        <v>#N/A</v>
      </c>
      <c r="BJ9" s="326" t="e">
        <f t="shared" si="4"/>
        <v>#N/A</v>
      </c>
      <c r="BK9" s="326" t="e">
        <f t="shared" si="4"/>
        <v>#N/A</v>
      </c>
      <c r="BL9" s="333" t="e">
        <f t="shared" si="4"/>
        <v>#N/A</v>
      </c>
    </row>
    <row r="10" spans="1:65" ht="17" thickBot="1" x14ac:dyDescent="0.3">
      <c r="A10" s="600"/>
      <c r="B10" s="603"/>
      <c r="C10" s="336"/>
      <c r="D10" s="404" t="s">
        <v>501</v>
      </c>
      <c r="E10" s="386" t="e">
        <f>IF(E5&lt;0,E5,NA())</f>
        <v>#N/A</v>
      </c>
      <c r="F10" s="337" t="e">
        <f t="shared" ref="F10:BL10" si="5">IF(F5&lt;0,F5,NA())</f>
        <v>#N/A</v>
      </c>
      <c r="G10" s="337" t="e">
        <f t="shared" si="5"/>
        <v>#N/A</v>
      </c>
      <c r="H10" s="337" t="e">
        <f t="shared" si="5"/>
        <v>#N/A</v>
      </c>
      <c r="I10" s="337">
        <f t="shared" si="5"/>
        <v>-1</v>
      </c>
      <c r="J10" s="337">
        <f t="shared" si="5"/>
        <v>-1</v>
      </c>
      <c r="K10" s="337">
        <f t="shared" si="5"/>
        <v>-1</v>
      </c>
      <c r="L10" s="337">
        <f t="shared" si="5"/>
        <v>-1</v>
      </c>
      <c r="M10" s="337">
        <f t="shared" si="5"/>
        <v>-1</v>
      </c>
      <c r="N10" s="337">
        <f t="shared" si="5"/>
        <v>-1</v>
      </c>
      <c r="O10" s="337">
        <f t="shared" si="5"/>
        <v>-1</v>
      </c>
      <c r="P10" s="338">
        <f t="shared" si="5"/>
        <v>-1</v>
      </c>
      <c r="Q10" s="337">
        <f t="shared" si="5"/>
        <v>-1</v>
      </c>
      <c r="R10" s="337">
        <f t="shared" si="5"/>
        <v>-1</v>
      </c>
      <c r="S10" s="337">
        <f t="shared" si="5"/>
        <v>-1</v>
      </c>
      <c r="T10" s="337">
        <f t="shared" si="5"/>
        <v>-1</v>
      </c>
      <c r="U10" s="337">
        <f t="shared" si="5"/>
        <v>-1</v>
      </c>
      <c r="V10" s="337">
        <f t="shared" si="5"/>
        <v>-1</v>
      </c>
      <c r="W10" s="337">
        <f t="shared" si="5"/>
        <v>-1</v>
      </c>
      <c r="X10" s="337">
        <f t="shared" si="5"/>
        <v>-1</v>
      </c>
      <c r="Y10" s="337">
        <f t="shared" si="5"/>
        <v>-1</v>
      </c>
      <c r="Z10" s="337">
        <f t="shared" si="5"/>
        <v>-1</v>
      </c>
      <c r="AA10" s="337">
        <f t="shared" si="5"/>
        <v>-1</v>
      </c>
      <c r="AB10" s="337">
        <f t="shared" si="5"/>
        <v>-1</v>
      </c>
      <c r="AC10" s="386">
        <f t="shared" si="5"/>
        <v>-1</v>
      </c>
      <c r="AD10" s="337">
        <f t="shared" si="5"/>
        <v>-1</v>
      </c>
      <c r="AE10" s="337">
        <f t="shared" si="5"/>
        <v>-1</v>
      </c>
      <c r="AF10" s="337">
        <f t="shared" si="5"/>
        <v>-1</v>
      </c>
      <c r="AG10" s="337">
        <f t="shared" si="5"/>
        <v>-1</v>
      </c>
      <c r="AH10" s="337">
        <f t="shared" si="5"/>
        <v>-1</v>
      </c>
      <c r="AI10" s="337">
        <f t="shared" si="5"/>
        <v>-1</v>
      </c>
      <c r="AJ10" s="337">
        <f t="shared" si="5"/>
        <v>-1</v>
      </c>
      <c r="AK10" s="337">
        <f t="shared" si="5"/>
        <v>-1</v>
      </c>
      <c r="AL10" s="337">
        <f t="shared" si="5"/>
        <v>-1</v>
      </c>
      <c r="AM10" s="337">
        <f t="shared" si="5"/>
        <v>-1</v>
      </c>
      <c r="AN10" s="338">
        <f t="shared" si="5"/>
        <v>-1</v>
      </c>
      <c r="AO10" s="337">
        <f t="shared" si="5"/>
        <v>-1</v>
      </c>
      <c r="AP10" s="337">
        <f t="shared" si="5"/>
        <v>-1</v>
      </c>
      <c r="AQ10" s="337">
        <f t="shared" si="5"/>
        <v>-1</v>
      </c>
      <c r="AR10" s="337">
        <f t="shared" si="5"/>
        <v>-1</v>
      </c>
      <c r="AS10" s="337">
        <f t="shared" si="5"/>
        <v>-1</v>
      </c>
      <c r="AT10" s="337">
        <f t="shared" si="5"/>
        <v>-1</v>
      </c>
      <c r="AU10" s="337">
        <f t="shared" si="5"/>
        <v>-1</v>
      </c>
      <c r="AV10" s="337">
        <f t="shared" si="5"/>
        <v>-1</v>
      </c>
      <c r="AW10" s="337">
        <f t="shared" si="5"/>
        <v>-1</v>
      </c>
      <c r="AX10" s="337">
        <f t="shared" si="5"/>
        <v>-1</v>
      </c>
      <c r="AY10" s="337">
        <f t="shared" si="5"/>
        <v>-1</v>
      </c>
      <c r="AZ10" s="337">
        <f t="shared" si="5"/>
        <v>-1</v>
      </c>
      <c r="BA10" s="386">
        <f t="shared" si="5"/>
        <v>-1</v>
      </c>
      <c r="BB10" s="337">
        <f t="shared" si="5"/>
        <v>-1</v>
      </c>
      <c r="BC10" s="337">
        <f t="shared" si="5"/>
        <v>-1</v>
      </c>
      <c r="BD10" s="337">
        <f t="shared" si="5"/>
        <v>-1</v>
      </c>
      <c r="BE10" s="337">
        <f t="shared" si="5"/>
        <v>-1</v>
      </c>
      <c r="BF10" s="337">
        <f t="shared" si="5"/>
        <v>-1</v>
      </c>
      <c r="BG10" s="337">
        <f t="shared" si="5"/>
        <v>-1</v>
      </c>
      <c r="BH10" s="337">
        <f t="shared" si="5"/>
        <v>-1</v>
      </c>
      <c r="BI10" s="337">
        <f t="shared" si="5"/>
        <v>-1</v>
      </c>
      <c r="BJ10" s="337">
        <f t="shared" si="5"/>
        <v>-1</v>
      </c>
      <c r="BK10" s="337">
        <f t="shared" si="5"/>
        <v>-1</v>
      </c>
      <c r="BL10" s="338">
        <f t="shared" si="5"/>
        <v>-1</v>
      </c>
    </row>
    <row r="11" spans="1:65" ht="17" x14ac:dyDescent="0.25">
      <c r="A11" s="596">
        <v>2</v>
      </c>
      <c r="B11" s="598" t="s">
        <v>502</v>
      </c>
      <c r="C11" s="339" t="s">
        <v>497</v>
      </c>
      <c r="D11" s="405" t="s">
        <v>502</v>
      </c>
      <c r="E11" s="406">
        <f>'WEBSITES AUDIENCE'!B65</f>
        <v>0</v>
      </c>
      <c r="F11" s="340">
        <f>'WEBSITES AUDIENCE'!C65</f>
        <v>0</v>
      </c>
      <c r="G11" s="340">
        <f>'WEBSITES AUDIENCE'!D65</f>
        <v>0</v>
      </c>
      <c r="H11" s="340">
        <f>'WEBSITES AUDIENCE'!E65</f>
        <v>0</v>
      </c>
      <c r="I11" s="340">
        <f>'WEBSITES AUDIENCE'!F65</f>
        <v>0</v>
      </c>
      <c r="J11" s="340">
        <f>'WEBSITES AUDIENCE'!G65</f>
        <v>0</v>
      </c>
      <c r="K11" s="340">
        <f>'WEBSITES AUDIENCE'!H65</f>
        <v>0.32260952698472306</v>
      </c>
      <c r="L11" s="340">
        <f>'WEBSITES AUDIENCE'!I65</f>
        <v>0.31991263370869433</v>
      </c>
      <c r="M11" s="340">
        <f>'WEBSITES AUDIENCE'!J65</f>
        <v>0.31877590633068009</v>
      </c>
      <c r="N11" s="340">
        <f>'WEBSITES AUDIENCE'!K65</f>
        <v>0.31751987094539086</v>
      </c>
      <c r="O11" s="340">
        <f>'WEBSITES AUDIENCE'!L65</f>
        <v>0.31673314453486984</v>
      </c>
      <c r="P11" s="407">
        <f>'WEBSITES AUDIENCE'!M65</f>
        <v>0.31628390831002429</v>
      </c>
      <c r="Q11" s="341">
        <f>P11*1.01</f>
        <v>0.31944674739312451</v>
      </c>
      <c r="R11" s="341">
        <f t="shared" ref="R11:BL11" si="6">Q11*1.01</f>
        <v>0.32264121486705577</v>
      </c>
      <c r="S11" s="341">
        <f t="shared" si="6"/>
        <v>0.32586762701572636</v>
      </c>
      <c r="T11" s="341">
        <f t="shared" si="6"/>
        <v>0.3291263032858836</v>
      </c>
      <c r="U11" s="341">
        <f t="shared" si="6"/>
        <v>0.33241756631874242</v>
      </c>
      <c r="V11" s="341">
        <f t="shared" si="6"/>
        <v>0.33574174198192985</v>
      </c>
      <c r="W11" s="341">
        <f t="shared" si="6"/>
        <v>0.33909915940174917</v>
      </c>
      <c r="X11" s="341">
        <f t="shared" si="6"/>
        <v>0.34249015099576668</v>
      </c>
      <c r="Y11" s="341">
        <f t="shared" si="6"/>
        <v>0.34591505250572435</v>
      </c>
      <c r="Z11" s="341">
        <f t="shared" si="6"/>
        <v>0.34937420303078159</v>
      </c>
      <c r="AA11" s="341">
        <f t="shared" si="6"/>
        <v>0.35286794506108943</v>
      </c>
      <c r="AB11" s="341">
        <f t="shared" si="6"/>
        <v>0.35639662451170034</v>
      </c>
      <c r="AC11" s="387">
        <f t="shared" si="6"/>
        <v>0.35996059075681736</v>
      </c>
      <c r="AD11" s="341">
        <f t="shared" si="6"/>
        <v>0.36356019666438555</v>
      </c>
      <c r="AE11" s="341">
        <f t="shared" si="6"/>
        <v>0.36719579863102941</v>
      </c>
      <c r="AF11" s="341">
        <f t="shared" si="6"/>
        <v>0.37086775661733973</v>
      </c>
      <c r="AG11" s="341">
        <f t="shared" si="6"/>
        <v>0.37457643418351311</v>
      </c>
      <c r="AH11" s="341">
        <f t="shared" si="6"/>
        <v>0.37832219852534826</v>
      </c>
      <c r="AI11" s="341">
        <f t="shared" si="6"/>
        <v>0.38210542051060176</v>
      </c>
      <c r="AJ11" s="341">
        <f t="shared" si="6"/>
        <v>0.38592647471570779</v>
      </c>
      <c r="AK11" s="341">
        <f t="shared" si="6"/>
        <v>0.38978573946286488</v>
      </c>
      <c r="AL11" s="341">
        <f t="shared" si="6"/>
        <v>0.39368359685749355</v>
      </c>
      <c r="AM11" s="341">
        <f t="shared" si="6"/>
        <v>0.39762043282606846</v>
      </c>
      <c r="AN11" s="342">
        <f t="shared" si="6"/>
        <v>0.40159663715432914</v>
      </c>
      <c r="AO11" s="341">
        <f t="shared" si="6"/>
        <v>0.40561260352587242</v>
      </c>
      <c r="AP11" s="341">
        <f t="shared" si="6"/>
        <v>0.40966872956113115</v>
      </c>
      <c r="AQ11" s="341">
        <f t="shared" si="6"/>
        <v>0.41376541685674245</v>
      </c>
      <c r="AR11" s="341">
        <f t="shared" si="6"/>
        <v>0.41790307102530988</v>
      </c>
      <c r="AS11" s="341">
        <f t="shared" si="6"/>
        <v>0.42208210173556299</v>
      </c>
      <c r="AT11" s="341">
        <f t="shared" si="6"/>
        <v>0.42630292275291864</v>
      </c>
      <c r="AU11" s="341">
        <f t="shared" si="6"/>
        <v>0.43056595198044784</v>
      </c>
      <c r="AV11" s="341">
        <f t="shared" si="6"/>
        <v>0.43487161150025233</v>
      </c>
      <c r="AW11" s="341">
        <f t="shared" si="6"/>
        <v>0.43922032761525487</v>
      </c>
      <c r="AX11" s="341">
        <f t="shared" si="6"/>
        <v>0.4436125308914074</v>
      </c>
      <c r="AY11" s="341">
        <f t="shared" si="6"/>
        <v>0.44804865620032147</v>
      </c>
      <c r="AZ11" s="341">
        <f t="shared" si="6"/>
        <v>0.4525291427623247</v>
      </c>
      <c r="BA11" s="387">
        <f t="shared" si="6"/>
        <v>0.45705443418994796</v>
      </c>
      <c r="BB11" s="341">
        <f t="shared" si="6"/>
        <v>0.46162497853184742</v>
      </c>
      <c r="BC11" s="341">
        <f t="shared" si="6"/>
        <v>0.46624122831716591</v>
      </c>
      <c r="BD11" s="341">
        <f t="shared" si="6"/>
        <v>0.47090364060033757</v>
      </c>
      <c r="BE11" s="341">
        <f t="shared" si="6"/>
        <v>0.47561267700634097</v>
      </c>
      <c r="BF11" s="341">
        <f t="shared" si="6"/>
        <v>0.4803688037764044</v>
      </c>
      <c r="BG11" s="341">
        <f t="shared" si="6"/>
        <v>0.48517249181416844</v>
      </c>
      <c r="BH11" s="341">
        <f t="shared" si="6"/>
        <v>0.49002421673231011</v>
      </c>
      <c r="BI11" s="341">
        <f t="shared" si="6"/>
        <v>0.49492445889963321</v>
      </c>
      <c r="BJ11" s="341">
        <f t="shared" si="6"/>
        <v>0.49987370348862953</v>
      </c>
      <c r="BK11" s="341">
        <f t="shared" si="6"/>
        <v>0.50487244052351588</v>
      </c>
      <c r="BL11" s="342">
        <f t="shared" si="6"/>
        <v>0.50992116492875106</v>
      </c>
    </row>
    <row r="12" spans="1:65" ht="17" x14ac:dyDescent="0.25">
      <c r="A12" s="597"/>
      <c r="B12" s="599"/>
      <c r="C12" s="343" t="s">
        <v>498</v>
      </c>
      <c r="D12" s="402" t="s">
        <v>502</v>
      </c>
      <c r="E12" s="434">
        <v>0.2</v>
      </c>
      <c r="F12" s="344">
        <v>0</v>
      </c>
      <c r="G12" s="344">
        <v>0</v>
      </c>
      <c r="H12" s="344">
        <v>0</v>
      </c>
      <c r="I12" s="344"/>
      <c r="J12" s="344"/>
      <c r="K12" s="344"/>
      <c r="L12" s="344"/>
      <c r="M12" s="344"/>
      <c r="N12" s="344"/>
      <c r="O12" s="344"/>
      <c r="P12" s="345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88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5"/>
      <c r="AO12" s="344"/>
      <c r="AP12" s="344"/>
      <c r="AQ12" s="344"/>
      <c r="AR12" s="344"/>
      <c r="AS12" s="344"/>
      <c r="AT12" s="344"/>
      <c r="AU12" s="344"/>
      <c r="AV12" s="344"/>
      <c r="AW12" s="344"/>
      <c r="AX12" s="344"/>
      <c r="AY12" s="344"/>
      <c r="AZ12" s="344"/>
      <c r="BA12" s="388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5"/>
    </row>
    <row r="13" spans="1:65" ht="17" thickBot="1" x14ac:dyDescent="0.3">
      <c r="A13" s="346"/>
      <c r="B13" s="363"/>
      <c r="C13" s="347" t="s">
        <v>507</v>
      </c>
      <c r="D13" s="404" t="s">
        <v>499</v>
      </c>
      <c r="E13" s="386" t="e">
        <f>(E12-E11)/E11</f>
        <v>#DIV/0!</v>
      </c>
      <c r="F13" s="337" t="e">
        <f t="shared" ref="F13" si="7">(F12-F11)/F11</f>
        <v>#DIV/0!</v>
      </c>
      <c r="G13" s="337" t="e">
        <f t="shared" ref="G13" si="8">(G12-G11)/G11</f>
        <v>#DIV/0!</v>
      </c>
      <c r="H13" s="337" t="e">
        <f t="shared" ref="H13" si="9">(H12-H11)/H11</f>
        <v>#DIV/0!</v>
      </c>
      <c r="I13" s="337" t="e">
        <f t="shared" ref="I13" si="10">(I12-I11)/I11</f>
        <v>#DIV/0!</v>
      </c>
      <c r="J13" s="337" t="e">
        <f t="shared" ref="J13" si="11">(J12-J11)/J11</f>
        <v>#DIV/0!</v>
      </c>
      <c r="K13" s="337">
        <f t="shared" ref="K13" si="12">(K12-K11)/K11</f>
        <v>-1</v>
      </c>
      <c r="L13" s="337">
        <f t="shared" ref="L13" si="13">(L12-L11)/L11</f>
        <v>-1</v>
      </c>
      <c r="M13" s="337">
        <f t="shared" ref="M13" si="14">(M12-M11)/M11</f>
        <v>-1</v>
      </c>
      <c r="N13" s="337">
        <f t="shared" ref="N13" si="15">(N12-N11)/N11</f>
        <v>-1</v>
      </c>
      <c r="O13" s="337">
        <f t="shared" ref="O13" si="16">(O12-O11)/O11</f>
        <v>-1</v>
      </c>
      <c r="P13" s="338">
        <f t="shared" ref="P13" si="17">(P12-P11)/P11</f>
        <v>-1</v>
      </c>
      <c r="Q13" s="337">
        <f t="shared" ref="Q13" si="18">(Q12-Q11)/Q11</f>
        <v>-1</v>
      </c>
      <c r="R13" s="337">
        <f t="shared" ref="R13" si="19">(R12-R11)/R11</f>
        <v>-1</v>
      </c>
      <c r="S13" s="337">
        <f t="shared" ref="S13" si="20">(S12-S11)/S11</f>
        <v>-1</v>
      </c>
      <c r="T13" s="337">
        <f t="shared" ref="T13" si="21">(T12-T11)/T11</f>
        <v>-1</v>
      </c>
      <c r="U13" s="337">
        <f t="shared" ref="U13" si="22">(U12-U11)/U11</f>
        <v>-1</v>
      </c>
      <c r="V13" s="337">
        <f t="shared" ref="V13" si="23">(V12-V11)/V11</f>
        <v>-1</v>
      </c>
      <c r="W13" s="337">
        <f t="shared" ref="W13" si="24">(W12-W11)/W11</f>
        <v>-1</v>
      </c>
      <c r="X13" s="337">
        <f t="shared" ref="X13" si="25">(X12-X11)/X11</f>
        <v>-1</v>
      </c>
      <c r="Y13" s="337">
        <f t="shared" ref="Y13" si="26">(Y12-Y11)/Y11</f>
        <v>-1</v>
      </c>
      <c r="Z13" s="337">
        <f t="shared" ref="Z13" si="27">(Z12-Z11)/Z11</f>
        <v>-1</v>
      </c>
      <c r="AA13" s="337">
        <f t="shared" ref="AA13" si="28">(AA12-AA11)/AA11</f>
        <v>-1</v>
      </c>
      <c r="AB13" s="337">
        <f t="shared" ref="AB13" si="29">(AB12-AB11)/AB11</f>
        <v>-1</v>
      </c>
      <c r="AC13" s="386">
        <f t="shared" ref="AC13" si="30">(AC12-AC11)/AC11</f>
        <v>-1</v>
      </c>
      <c r="AD13" s="337">
        <f t="shared" ref="AD13" si="31">(AD12-AD11)/AD11</f>
        <v>-1</v>
      </c>
      <c r="AE13" s="337">
        <f t="shared" ref="AE13" si="32">(AE12-AE11)/AE11</f>
        <v>-1</v>
      </c>
      <c r="AF13" s="337">
        <f t="shared" ref="AF13" si="33">(AF12-AF11)/AF11</f>
        <v>-1</v>
      </c>
      <c r="AG13" s="337">
        <f t="shared" ref="AG13" si="34">(AG12-AG11)/AG11</f>
        <v>-1</v>
      </c>
      <c r="AH13" s="337">
        <f t="shared" ref="AH13" si="35">(AH12-AH11)/AH11</f>
        <v>-1</v>
      </c>
      <c r="AI13" s="337">
        <f t="shared" ref="AI13" si="36">(AI12-AI11)/AI11</f>
        <v>-1</v>
      </c>
      <c r="AJ13" s="337">
        <f t="shared" ref="AJ13" si="37">(AJ12-AJ11)/AJ11</f>
        <v>-1</v>
      </c>
      <c r="AK13" s="337">
        <f t="shared" ref="AK13" si="38">(AK12-AK11)/AK11</f>
        <v>-1</v>
      </c>
      <c r="AL13" s="337">
        <f t="shared" ref="AL13" si="39">(AL12-AL11)/AL11</f>
        <v>-1</v>
      </c>
      <c r="AM13" s="337">
        <f t="shared" ref="AM13" si="40">(AM12-AM11)/AM11</f>
        <v>-1</v>
      </c>
      <c r="AN13" s="338">
        <f t="shared" ref="AN13" si="41">(AN12-AN11)/AN11</f>
        <v>-1</v>
      </c>
      <c r="AO13" s="337">
        <f t="shared" ref="AO13" si="42">(AO12-AO11)/AO11</f>
        <v>-1</v>
      </c>
      <c r="AP13" s="337">
        <f t="shared" ref="AP13" si="43">(AP12-AP11)/AP11</f>
        <v>-1</v>
      </c>
      <c r="AQ13" s="337">
        <f t="shared" ref="AQ13" si="44">(AQ12-AQ11)/AQ11</f>
        <v>-1</v>
      </c>
      <c r="AR13" s="337">
        <f t="shared" ref="AR13" si="45">(AR12-AR11)/AR11</f>
        <v>-1</v>
      </c>
      <c r="AS13" s="337">
        <f t="shared" ref="AS13" si="46">(AS12-AS11)/AS11</f>
        <v>-1</v>
      </c>
      <c r="AT13" s="337">
        <f t="shared" ref="AT13" si="47">(AT12-AT11)/AT11</f>
        <v>-1</v>
      </c>
      <c r="AU13" s="337">
        <f t="shared" ref="AU13" si="48">(AU12-AU11)/AU11</f>
        <v>-1</v>
      </c>
      <c r="AV13" s="337">
        <f t="shared" ref="AV13" si="49">(AV12-AV11)/AV11</f>
        <v>-1</v>
      </c>
      <c r="AW13" s="337">
        <f t="shared" ref="AW13" si="50">(AW12-AW11)/AW11</f>
        <v>-1</v>
      </c>
      <c r="AX13" s="337">
        <f t="shared" ref="AX13" si="51">(AX12-AX11)/AX11</f>
        <v>-1</v>
      </c>
      <c r="AY13" s="337">
        <f t="shared" ref="AY13" si="52">(AY12-AY11)/AY11</f>
        <v>-1</v>
      </c>
      <c r="AZ13" s="337">
        <f t="shared" ref="AZ13" si="53">(AZ12-AZ11)/AZ11</f>
        <v>-1</v>
      </c>
      <c r="BA13" s="386">
        <f t="shared" ref="BA13" si="54">(BA12-BA11)/BA11</f>
        <v>-1</v>
      </c>
      <c r="BB13" s="337">
        <f t="shared" ref="BB13" si="55">(BB12-BB11)/BB11</f>
        <v>-1</v>
      </c>
      <c r="BC13" s="337">
        <f t="shared" ref="BC13" si="56">(BC12-BC11)/BC11</f>
        <v>-1</v>
      </c>
      <c r="BD13" s="337">
        <f t="shared" ref="BD13" si="57">(BD12-BD11)/BD11</f>
        <v>-1</v>
      </c>
      <c r="BE13" s="337">
        <f t="shared" ref="BE13" si="58">(BE12-BE11)/BE11</f>
        <v>-1</v>
      </c>
      <c r="BF13" s="337">
        <f t="shared" ref="BF13" si="59">(BF12-BF11)/BF11</f>
        <v>-1</v>
      </c>
      <c r="BG13" s="337">
        <f t="shared" ref="BG13" si="60">(BG12-BG11)/BG11</f>
        <v>-1</v>
      </c>
      <c r="BH13" s="337">
        <f t="shared" ref="BH13" si="61">(BH12-BH11)/BH11</f>
        <v>-1</v>
      </c>
      <c r="BI13" s="337">
        <f t="shared" ref="BI13" si="62">(BI12-BI11)/BI11</f>
        <v>-1</v>
      </c>
      <c r="BJ13" s="337">
        <f t="shared" ref="BJ13" si="63">(BJ12-BJ11)/BJ11</f>
        <v>-1</v>
      </c>
      <c r="BK13" s="337">
        <f t="shared" ref="BK13" si="64">(BK12-BK11)/BK11</f>
        <v>-1</v>
      </c>
      <c r="BL13" s="338">
        <f t="shared" ref="BL13" si="65">(BL12-BL11)/BL11</f>
        <v>-1</v>
      </c>
    </row>
    <row r="14" spans="1:65" ht="17" x14ac:dyDescent="0.25">
      <c r="A14" s="596">
        <v>3</v>
      </c>
      <c r="B14" s="598" t="s">
        <v>503</v>
      </c>
      <c r="C14" s="339" t="s">
        <v>497</v>
      </c>
      <c r="D14" s="405" t="s">
        <v>503</v>
      </c>
      <c r="E14" s="389">
        <f>'WEBSITES AUDIENCE'!$K$8</f>
        <v>0.25</v>
      </c>
      <c r="F14" s="348">
        <f>'WEBSITES AUDIENCE'!$K$8</f>
        <v>0.25</v>
      </c>
      <c r="G14" s="348">
        <f>'WEBSITES AUDIENCE'!$K$8</f>
        <v>0.25</v>
      </c>
      <c r="H14" s="348">
        <f>'WEBSITES AUDIENCE'!$K$8</f>
        <v>0.25</v>
      </c>
      <c r="I14" s="348">
        <f>'WEBSITES AUDIENCE'!$K$8</f>
        <v>0.25</v>
      </c>
      <c r="J14" s="348">
        <f>'WEBSITES AUDIENCE'!$K$8</f>
        <v>0.25</v>
      </c>
      <c r="K14" s="348">
        <f>'WEBSITES AUDIENCE'!$K$8</f>
        <v>0.25</v>
      </c>
      <c r="L14" s="348">
        <f>'WEBSITES AUDIENCE'!$K$8</f>
        <v>0.25</v>
      </c>
      <c r="M14" s="348">
        <f>'WEBSITES AUDIENCE'!$K$8</f>
        <v>0.25</v>
      </c>
      <c r="N14" s="348">
        <f>'WEBSITES AUDIENCE'!$K$8</f>
        <v>0.25</v>
      </c>
      <c r="O14" s="348">
        <f>'WEBSITES AUDIENCE'!$K$8</f>
        <v>0.25</v>
      </c>
      <c r="P14" s="349">
        <f>'WEBSITES AUDIENCE'!$K$8</f>
        <v>0.25</v>
      </c>
      <c r="Q14" s="348">
        <f>'WEBSITES AUDIENCE'!$K$8</f>
        <v>0.25</v>
      </c>
      <c r="R14" s="348">
        <f>'WEBSITES AUDIENCE'!$K$8</f>
        <v>0.25</v>
      </c>
      <c r="S14" s="348">
        <f>'WEBSITES AUDIENCE'!$K$8</f>
        <v>0.25</v>
      </c>
      <c r="T14" s="348">
        <f>'WEBSITES AUDIENCE'!$K$8</f>
        <v>0.25</v>
      </c>
      <c r="U14" s="348">
        <f>'WEBSITES AUDIENCE'!$K$8</f>
        <v>0.25</v>
      </c>
      <c r="V14" s="348">
        <f>'WEBSITES AUDIENCE'!$K$8</f>
        <v>0.25</v>
      </c>
      <c r="W14" s="348">
        <f>'WEBSITES AUDIENCE'!$K$8</f>
        <v>0.25</v>
      </c>
      <c r="X14" s="348">
        <f>'WEBSITES AUDIENCE'!$K$8</f>
        <v>0.25</v>
      </c>
      <c r="Y14" s="348">
        <f>'WEBSITES AUDIENCE'!$K$8</f>
        <v>0.25</v>
      </c>
      <c r="Z14" s="348">
        <f>'WEBSITES AUDIENCE'!$K$8</f>
        <v>0.25</v>
      </c>
      <c r="AA14" s="348">
        <f>'WEBSITES AUDIENCE'!$K$8</f>
        <v>0.25</v>
      </c>
      <c r="AB14" s="348">
        <f>'WEBSITES AUDIENCE'!$K$8</f>
        <v>0.25</v>
      </c>
      <c r="AC14" s="389">
        <f>'WEBSITES AUDIENCE'!$K$8</f>
        <v>0.25</v>
      </c>
      <c r="AD14" s="348">
        <f>'WEBSITES AUDIENCE'!$K$8</f>
        <v>0.25</v>
      </c>
      <c r="AE14" s="348">
        <f>'WEBSITES AUDIENCE'!$K$8</f>
        <v>0.25</v>
      </c>
      <c r="AF14" s="348">
        <f>'WEBSITES AUDIENCE'!$K$8</f>
        <v>0.25</v>
      </c>
      <c r="AG14" s="348">
        <f>'WEBSITES AUDIENCE'!$K$8</f>
        <v>0.25</v>
      </c>
      <c r="AH14" s="348">
        <f>'WEBSITES AUDIENCE'!$K$8</f>
        <v>0.25</v>
      </c>
      <c r="AI14" s="348">
        <f>'WEBSITES AUDIENCE'!$K$8</f>
        <v>0.25</v>
      </c>
      <c r="AJ14" s="348">
        <f>'WEBSITES AUDIENCE'!$K$8</f>
        <v>0.25</v>
      </c>
      <c r="AK14" s="348">
        <f>'WEBSITES AUDIENCE'!$K$8</f>
        <v>0.25</v>
      </c>
      <c r="AL14" s="348">
        <f>'WEBSITES AUDIENCE'!$K$8</f>
        <v>0.25</v>
      </c>
      <c r="AM14" s="348">
        <f>'WEBSITES AUDIENCE'!$K$8</f>
        <v>0.25</v>
      </c>
      <c r="AN14" s="349">
        <f>'WEBSITES AUDIENCE'!$K$8</f>
        <v>0.25</v>
      </c>
      <c r="AO14" s="348">
        <f>'WEBSITES AUDIENCE'!$K$8</f>
        <v>0.25</v>
      </c>
      <c r="AP14" s="348">
        <f>'WEBSITES AUDIENCE'!$K$8</f>
        <v>0.25</v>
      </c>
      <c r="AQ14" s="348">
        <f>'WEBSITES AUDIENCE'!$K$8</f>
        <v>0.25</v>
      </c>
      <c r="AR14" s="348">
        <f>'WEBSITES AUDIENCE'!$K$8</f>
        <v>0.25</v>
      </c>
      <c r="AS14" s="348">
        <f>'WEBSITES AUDIENCE'!$K$8</f>
        <v>0.25</v>
      </c>
      <c r="AT14" s="348">
        <f>'WEBSITES AUDIENCE'!$K$8</f>
        <v>0.25</v>
      </c>
      <c r="AU14" s="348">
        <f>'WEBSITES AUDIENCE'!$K$8</f>
        <v>0.25</v>
      </c>
      <c r="AV14" s="348">
        <f>'WEBSITES AUDIENCE'!$K$8</f>
        <v>0.25</v>
      </c>
      <c r="AW14" s="348">
        <f>'WEBSITES AUDIENCE'!$K$8</f>
        <v>0.25</v>
      </c>
      <c r="AX14" s="348">
        <f>'WEBSITES AUDIENCE'!$K$8</f>
        <v>0.25</v>
      </c>
      <c r="AY14" s="348">
        <f>'WEBSITES AUDIENCE'!$K$8</f>
        <v>0.25</v>
      </c>
      <c r="AZ14" s="348">
        <f>'WEBSITES AUDIENCE'!$K$8</f>
        <v>0.25</v>
      </c>
      <c r="BA14" s="389">
        <f>'WEBSITES AUDIENCE'!$K$8</f>
        <v>0.25</v>
      </c>
      <c r="BB14" s="348">
        <f>'WEBSITES AUDIENCE'!$K$8</f>
        <v>0.25</v>
      </c>
      <c r="BC14" s="348">
        <f>'WEBSITES AUDIENCE'!$K$8</f>
        <v>0.25</v>
      </c>
      <c r="BD14" s="348">
        <f>'WEBSITES AUDIENCE'!$K$8</f>
        <v>0.25</v>
      </c>
      <c r="BE14" s="348">
        <f>'WEBSITES AUDIENCE'!$K$8</f>
        <v>0.25</v>
      </c>
      <c r="BF14" s="348">
        <f>'WEBSITES AUDIENCE'!$K$8</f>
        <v>0.25</v>
      </c>
      <c r="BG14" s="348">
        <f>'WEBSITES AUDIENCE'!$K$8</f>
        <v>0.25</v>
      </c>
      <c r="BH14" s="348">
        <f>'WEBSITES AUDIENCE'!$K$8</f>
        <v>0.25</v>
      </c>
      <c r="BI14" s="348">
        <f>'WEBSITES AUDIENCE'!$K$8</f>
        <v>0.25</v>
      </c>
      <c r="BJ14" s="348">
        <f>'WEBSITES AUDIENCE'!$K$8</f>
        <v>0.25</v>
      </c>
      <c r="BK14" s="348">
        <f>'WEBSITES AUDIENCE'!$K$8</f>
        <v>0.25</v>
      </c>
      <c r="BL14" s="349">
        <f>'WEBSITES AUDIENCE'!$K$8</f>
        <v>0.25</v>
      </c>
    </row>
    <row r="15" spans="1:65" ht="17" x14ac:dyDescent="0.25">
      <c r="A15" s="597"/>
      <c r="B15" s="599"/>
      <c r="C15" s="343" t="s">
        <v>498</v>
      </c>
      <c r="D15" s="402" t="s">
        <v>503</v>
      </c>
      <c r="E15" s="390">
        <v>0.2</v>
      </c>
      <c r="F15" s="350">
        <v>0.5</v>
      </c>
      <c r="G15" s="350">
        <v>0.3</v>
      </c>
      <c r="H15" s="350"/>
      <c r="I15" s="350"/>
      <c r="J15" s="350"/>
      <c r="K15" s="350"/>
      <c r="L15" s="350"/>
      <c r="M15" s="350"/>
      <c r="N15" s="350"/>
      <c r="O15" s="350"/>
      <c r="P15" s="351"/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9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1"/>
      <c r="AO15" s="350"/>
      <c r="AP15" s="350"/>
      <c r="AQ15" s="350"/>
      <c r="AR15" s="350"/>
      <c r="AS15" s="350"/>
      <c r="AT15" s="350"/>
      <c r="AU15" s="350"/>
      <c r="AV15" s="350"/>
      <c r="AW15" s="350"/>
      <c r="AX15" s="350"/>
      <c r="AY15" s="350"/>
      <c r="AZ15" s="350"/>
      <c r="BA15" s="390"/>
      <c r="BB15" s="350"/>
      <c r="BC15" s="350"/>
      <c r="BD15" s="350"/>
      <c r="BE15" s="350"/>
      <c r="BF15" s="350"/>
      <c r="BG15" s="350"/>
      <c r="BH15" s="350"/>
      <c r="BI15" s="350"/>
      <c r="BJ15" s="350"/>
      <c r="BK15" s="350"/>
      <c r="BL15" s="351"/>
    </row>
    <row r="16" spans="1:65" ht="17" thickBot="1" x14ac:dyDescent="0.3">
      <c r="A16" s="346"/>
      <c r="B16" s="363"/>
      <c r="C16" s="347" t="s">
        <v>507</v>
      </c>
      <c r="D16" s="404" t="s">
        <v>499</v>
      </c>
      <c r="E16" s="386">
        <f>(E15-E14)/E14</f>
        <v>-0.19999999999999996</v>
      </c>
      <c r="F16" s="337">
        <f t="shared" ref="F16" si="66">(F15-F14)/F14</f>
        <v>1</v>
      </c>
      <c r="G16" s="337">
        <f t="shared" ref="G16" si="67">(G15-G14)/G14</f>
        <v>0.19999999999999996</v>
      </c>
      <c r="H16" s="337">
        <f t="shared" ref="H16" si="68">(H15-H14)/H14</f>
        <v>-1</v>
      </c>
      <c r="I16" s="337">
        <f t="shared" ref="I16" si="69">(I15-I14)/I14</f>
        <v>-1</v>
      </c>
      <c r="J16" s="337">
        <f t="shared" ref="J16" si="70">(J15-J14)/J14</f>
        <v>-1</v>
      </c>
      <c r="K16" s="337">
        <f t="shared" ref="K16" si="71">(K15-K14)/K14</f>
        <v>-1</v>
      </c>
      <c r="L16" s="337">
        <f t="shared" ref="L16" si="72">(L15-L14)/L14</f>
        <v>-1</v>
      </c>
      <c r="M16" s="337">
        <f t="shared" ref="M16" si="73">(M15-M14)/M14</f>
        <v>-1</v>
      </c>
      <c r="N16" s="337">
        <f t="shared" ref="N16" si="74">(N15-N14)/N14</f>
        <v>-1</v>
      </c>
      <c r="O16" s="337">
        <f t="shared" ref="O16" si="75">(O15-O14)/O14</f>
        <v>-1</v>
      </c>
      <c r="P16" s="338">
        <f t="shared" ref="P16" si="76">(P15-P14)/P14</f>
        <v>-1</v>
      </c>
      <c r="Q16" s="337">
        <f t="shared" ref="Q16" si="77">(Q15-Q14)/Q14</f>
        <v>-1</v>
      </c>
      <c r="R16" s="337">
        <f t="shared" ref="R16" si="78">(R15-R14)/R14</f>
        <v>-1</v>
      </c>
      <c r="S16" s="337">
        <f t="shared" ref="S16" si="79">(S15-S14)/S14</f>
        <v>-1</v>
      </c>
      <c r="T16" s="337">
        <f t="shared" ref="T16" si="80">(T15-T14)/T14</f>
        <v>-1</v>
      </c>
      <c r="U16" s="337">
        <f t="shared" ref="U16" si="81">(U15-U14)/U14</f>
        <v>-1</v>
      </c>
      <c r="V16" s="337">
        <f t="shared" ref="V16" si="82">(V15-V14)/V14</f>
        <v>-1</v>
      </c>
      <c r="W16" s="337">
        <f t="shared" ref="W16" si="83">(W15-W14)/W14</f>
        <v>-1</v>
      </c>
      <c r="X16" s="337">
        <f t="shared" ref="X16" si="84">(X15-X14)/X14</f>
        <v>-1</v>
      </c>
      <c r="Y16" s="337">
        <f t="shared" ref="Y16" si="85">(Y15-Y14)/Y14</f>
        <v>-1</v>
      </c>
      <c r="Z16" s="337">
        <f t="shared" ref="Z16" si="86">(Z15-Z14)/Z14</f>
        <v>-1</v>
      </c>
      <c r="AA16" s="337">
        <f t="shared" ref="AA16" si="87">(AA15-AA14)/AA14</f>
        <v>-1</v>
      </c>
      <c r="AB16" s="337">
        <f t="shared" ref="AB16" si="88">(AB15-AB14)/AB14</f>
        <v>-1</v>
      </c>
      <c r="AC16" s="386">
        <f t="shared" ref="AC16" si="89">(AC15-AC14)/AC14</f>
        <v>-1</v>
      </c>
      <c r="AD16" s="337">
        <f t="shared" ref="AD16" si="90">(AD15-AD14)/AD14</f>
        <v>-1</v>
      </c>
      <c r="AE16" s="337">
        <f t="shared" ref="AE16" si="91">(AE15-AE14)/AE14</f>
        <v>-1</v>
      </c>
      <c r="AF16" s="337">
        <f t="shared" ref="AF16" si="92">(AF15-AF14)/AF14</f>
        <v>-1</v>
      </c>
      <c r="AG16" s="337">
        <f t="shared" ref="AG16" si="93">(AG15-AG14)/AG14</f>
        <v>-1</v>
      </c>
      <c r="AH16" s="337">
        <f t="shared" ref="AH16" si="94">(AH15-AH14)/AH14</f>
        <v>-1</v>
      </c>
      <c r="AI16" s="337">
        <f t="shared" ref="AI16" si="95">(AI15-AI14)/AI14</f>
        <v>-1</v>
      </c>
      <c r="AJ16" s="337">
        <f t="shared" ref="AJ16" si="96">(AJ15-AJ14)/AJ14</f>
        <v>-1</v>
      </c>
      <c r="AK16" s="337">
        <f t="shared" ref="AK16" si="97">(AK15-AK14)/AK14</f>
        <v>-1</v>
      </c>
      <c r="AL16" s="337">
        <f t="shared" ref="AL16" si="98">(AL15-AL14)/AL14</f>
        <v>-1</v>
      </c>
      <c r="AM16" s="337">
        <f t="shared" ref="AM16" si="99">(AM15-AM14)/AM14</f>
        <v>-1</v>
      </c>
      <c r="AN16" s="338">
        <f t="shared" ref="AN16" si="100">(AN15-AN14)/AN14</f>
        <v>-1</v>
      </c>
      <c r="AO16" s="337">
        <f t="shared" ref="AO16" si="101">(AO15-AO14)/AO14</f>
        <v>-1</v>
      </c>
      <c r="AP16" s="337">
        <f t="shared" ref="AP16" si="102">(AP15-AP14)/AP14</f>
        <v>-1</v>
      </c>
      <c r="AQ16" s="337">
        <f t="shared" ref="AQ16" si="103">(AQ15-AQ14)/AQ14</f>
        <v>-1</v>
      </c>
      <c r="AR16" s="337">
        <f t="shared" ref="AR16" si="104">(AR15-AR14)/AR14</f>
        <v>-1</v>
      </c>
      <c r="AS16" s="337">
        <f t="shared" ref="AS16" si="105">(AS15-AS14)/AS14</f>
        <v>-1</v>
      </c>
      <c r="AT16" s="337">
        <f t="shared" ref="AT16" si="106">(AT15-AT14)/AT14</f>
        <v>-1</v>
      </c>
      <c r="AU16" s="337">
        <f t="shared" ref="AU16" si="107">(AU15-AU14)/AU14</f>
        <v>-1</v>
      </c>
      <c r="AV16" s="337">
        <f t="shared" ref="AV16" si="108">(AV15-AV14)/AV14</f>
        <v>-1</v>
      </c>
      <c r="AW16" s="337">
        <f t="shared" ref="AW16" si="109">(AW15-AW14)/AW14</f>
        <v>-1</v>
      </c>
      <c r="AX16" s="337">
        <f t="shared" ref="AX16" si="110">(AX15-AX14)/AX14</f>
        <v>-1</v>
      </c>
      <c r="AY16" s="337">
        <f t="shared" ref="AY16" si="111">(AY15-AY14)/AY14</f>
        <v>-1</v>
      </c>
      <c r="AZ16" s="337">
        <f t="shared" ref="AZ16" si="112">(AZ15-AZ14)/AZ14</f>
        <v>-1</v>
      </c>
      <c r="BA16" s="386">
        <f t="shared" ref="BA16" si="113">(BA15-BA14)/BA14</f>
        <v>-1</v>
      </c>
      <c r="BB16" s="337">
        <f t="shared" ref="BB16" si="114">(BB15-BB14)/BB14</f>
        <v>-1</v>
      </c>
      <c r="BC16" s="337">
        <f t="shared" ref="BC16" si="115">(BC15-BC14)/BC14</f>
        <v>-1</v>
      </c>
      <c r="BD16" s="337">
        <f t="shared" ref="BD16" si="116">(BD15-BD14)/BD14</f>
        <v>-1</v>
      </c>
      <c r="BE16" s="337">
        <f t="shared" ref="BE16" si="117">(BE15-BE14)/BE14</f>
        <v>-1</v>
      </c>
      <c r="BF16" s="337">
        <f t="shared" ref="BF16" si="118">(BF15-BF14)/BF14</f>
        <v>-1</v>
      </c>
      <c r="BG16" s="337">
        <f t="shared" ref="BG16" si="119">(BG15-BG14)/BG14</f>
        <v>-1</v>
      </c>
      <c r="BH16" s="337">
        <f t="shared" ref="BH16" si="120">(BH15-BH14)/BH14</f>
        <v>-1</v>
      </c>
      <c r="BI16" s="337">
        <f t="shared" ref="BI16" si="121">(BI15-BI14)/BI14</f>
        <v>-1</v>
      </c>
      <c r="BJ16" s="337">
        <f t="shared" ref="BJ16" si="122">(BJ15-BJ14)/BJ14</f>
        <v>-1</v>
      </c>
      <c r="BK16" s="337">
        <f t="shared" ref="BK16" si="123">(BK15-BK14)/BK14</f>
        <v>-1</v>
      </c>
      <c r="BL16" s="338">
        <f t="shared" ref="BL16" si="124">(BL15-BL14)/BL14</f>
        <v>-1</v>
      </c>
    </row>
    <row r="17" spans="1:64" ht="17" x14ac:dyDescent="0.25">
      <c r="A17" s="604">
        <v>4</v>
      </c>
      <c r="B17" s="606" t="str">
        <f>'White label websites (WLW)'!A1</f>
        <v>BM1 : White label websites</v>
      </c>
      <c r="C17" s="339" t="s">
        <v>497</v>
      </c>
      <c r="D17" s="405" t="s">
        <v>508</v>
      </c>
      <c r="E17" s="391">
        <f>'White label websites (WLW)'!$B$4*31</f>
        <v>62</v>
      </c>
      <c r="F17" s="330">
        <f>'White label websites (WLW)'!$B$4*31</f>
        <v>62</v>
      </c>
      <c r="G17" s="330">
        <f>'White label websites (WLW)'!$B$4*31</f>
        <v>62</v>
      </c>
      <c r="H17" s="330">
        <f>'White label websites (WLW)'!$B$4*31</f>
        <v>62</v>
      </c>
      <c r="I17" s="330">
        <f>'White label websites (WLW)'!$B$4*31</f>
        <v>62</v>
      </c>
      <c r="J17" s="330">
        <f>'White label websites (WLW)'!$B$4*31</f>
        <v>62</v>
      </c>
      <c r="K17" s="330">
        <f>'White label websites (WLW)'!$B$4*31</f>
        <v>62</v>
      </c>
      <c r="L17" s="330">
        <f>'White label websites (WLW)'!$B$4*31</f>
        <v>62</v>
      </c>
      <c r="M17" s="330">
        <f>'White label websites (WLW)'!$B$4*31</f>
        <v>62</v>
      </c>
      <c r="N17" s="330">
        <f>'White label websites (WLW)'!$B$4*31</f>
        <v>62</v>
      </c>
      <c r="O17" s="330">
        <f>'White label websites (WLW)'!$B$4*31</f>
        <v>62</v>
      </c>
      <c r="P17" s="331">
        <f>'White label websites (WLW)'!$B$4*31</f>
        <v>62</v>
      </c>
      <c r="Q17" s="330">
        <f>'White label websites (WLW)'!$B$4*31</f>
        <v>62</v>
      </c>
      <c r="R17" s="330">
        <f>'White label websites (WLW)'!$B$4*31</f>
        <v>62</v>
      </c>
      <c r="S17" s="330">
        <f>'White label websites (WLW)'!$B$4*31</f>
        <v>62</v>
      </c>
      <c r="T17" s="330">
        <f>'White label websites (WLW)'!$B$4*31</f>
        <v>62</v>
      </c>
      <c r="U17" s="330">
        <f>'White label websites (WLW)'!$B$4*31</f>
        <v>62</v>
      </c>
      <c r="V17" s="330">
        <f>'White label websites (WLW)'!$B$4*31</f>
        <v>62</v>
      </c>
      <c r="W17" s="330">
        <f>'White label websites (WLW)'!$B$4*31</f>
        <v>62</v>
      </c>
      <c r="X17" s="330">
        <f>'White label websites (WLW)'!$B$4*31</f>
        <v>62</v>
      </c>
      <c r="Y17" s="330">
        <f>'White label websites (WLW)'!$B$4*31</f>
        <v>62</v>
      </c>
      <c r="Z17" s="330">
        <f>'White label websites (WLW)'!$B$4*31</f>
        <v>62</v>
      </c>
      <c r="AA17" s="330">
        <f>'White label websites (WLW)'!$B$4*31</f>
        <v>62</v>
      </c>
      <c r="AB17" s="330">
        <f>'White label websites (WLW)'!$B$4*31</f>
        <v>62</v>
      </c>
      <c r="AC17" s="391">
        <f>'White label websites (WLW)'!$B$4*31</f>
        <v>62</v>
      </c>
      <c r="AD17" s="330">
        <f>'White label websites (WLW)'!$B$4*31</f>
        <v>62</v>
      </c>
      <c r="AE17" s="330">
        <f>'White label websites (WLW)'!$B$4*31</f>
        <v>62</v>
      </c>
      <c r="AF17" s="330">
        <f>'White label websites (WLW)'!$B$4*31</f>
        <v>62</v>
      </c>
      <c r="AG17" s="330">
        <f>'White label websites (WLW)'!$B$4*31</f>
        <v>62</v>
      </c>
      <c r="AH17" s="330">
        <f>'White label websites (WLW)'!$B$4*31</f>
        <v>62</v>
      </c>
      <c r="AI17" s="330">
        <f>'White label websites (WLW)'!$B$4*31</f>
        <v>62</v>
      </c>
      <c r="AJ17" s="330">
        <f>'White label websites (WLW)'!$B$4*31</f>
        <v>62</v>
      </c>
      <c r="AK17" s="330">
        <f>'White label websites (WLW)'!$B$4*31</f>
        <v>62</v>
      </c>
      <c r="AL17" s="330">
        <f>'White label websites (WLW)'!$B$4*31</f>
        <v>62</v>
      </c>
      <c r="AM17" s="330">
        <f>'White label websites (WLW)'!$B$4*31</f>
        <v>62</v>
      </c>
      <c r="AN17" s="331">
        <f>'White label websites (WLW)'!$B$4*31</f>
        <v>62</v>
      </c>
      <c r="AO17" s="330">
        <f>'White label websites (WLW)'!$B$4*31</f>
        <v>62</v>
      </c>
      <c r="AP17" s="330">
        <f>'White label websites (WLW)'!$B$4*31</f>
        <v>62</v>
      </c>
      <c r="AQ17" s="330">
        <f>'White label websites (WLW)'!$B$4*31</f>
        <v>62</v>
      </c>
      <c r="AR17" s="330">
        <f>'White label websites (WLW)'!$B$4*31</f>
        <v>62</v>
      </c>
      <c r="AS17" s="330">
        <f>'White label websites (WLW)'!$B$4*31</f>
        <v>62</v>
      </c>
      <c r="AT17" s="330">
        <f>'White label websites (WLW)'!$B$4*31</f>
        <v>62</v>
      </c>
      <c r="AU17" s="330">
        <f>'White label websites (WLW)'!$B$4*31</f>
        <v>62</v>
      </c>
      <c r="AV17" s="330">
        <f>'White label websites (WLW)'!$B$4*31</f>
        <v>62</v>
      </c>
      <c r="AW17" s="330">
        <f>'White label websites (WLW)'!$B$4*31</f>
        <v>62</v>
      </c>
      <c r="AX17" s="330">
        <f>'White label websites (WLW)'!$B$4*31</f>
        <v>62</v>
      </c>
      <c r="AY17" s="330">
        <f>'White label websites (WLW)'!$B$4*31</f>
        <v>62</v>
      </c>
      <c r="AZ17" s="330">
        <f>'White label websites (WLW)'!$B$4*31</f>
        <v>62</v>
      </c>
      <c r="BA17" s="391">
        <f>'White label websites (WLW)'!$B$4*31</f>
        <v>62</v>
      </c>
      <c r="BB17" s="330">
        <f>'White label websites (WLW)'!$B$4*31</f>
        <v>62</v>
      </c>
      <c r="BC17" s="330">
        <f>'White label websites (WLW)'!$B$4*31</f>
        <v>62</v>
      </c>
      <c r="BD17" s="330">
        <f>'White label websites (WLW)'!$B$4*31</f>
        <v>62</v>
      </c>
      <c r="BE17" s="330">
        <f>'White label websites (WLW)'!$B$4*31</f>
        <v>62</v>
      </c>
      <c r="BF17" s="330">
        <f>'White label websites (WLW)'!$B$4*31</f>
        <v>62</v>
      </c>
      <c r="BG17" s="330">
        <f>'White label websites (WLW)'!$B$4*31</f>
        <v>62</v>
      </c>
      <c r="BH17" s="330">
        <f>'White label websites (WLW)'!$B$4*31</f>
        <v>62</v>
      </c>
      <c r="BI17" s="330">
        <f>'White label websites (WLW)'!$B$4*31</f>
        <v>62</v>
      </c>
      <c r="BJ17" s="330">
        <f>'White label websites (WLW)'!$B$4*31</f>
        <v>62</v>
      </c>
      <c r="BK17" s="330">
        <f>'White label websites (WLW)'!$B$4*31</f>
        <v>62</v>
      </c>
      <c r="BL17" s="331">
        <f>'White label websites (WLW)'!$B$4*31</f>
        <v>62</v>
      </c>
    </row>
    <row r="18" spans="1:64" ht="17" x14ac:dyDescent="0.25">
      <c r="A18" s="605"/>
      <c r="B18" s="607"/>
      <c r="C18" s="343" t="s">
        <v>498</v>
      </c>
      <c r="D18" s="402" t="s">
        <v>508</v>
      </c>
      <c r="E18" s="39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1"/>
      <c r="Q18" s="350"/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9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1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350"/>
      <c r="AZ18" s="350"/>
      <c r="BA18" s="390"/>
      <c r="BB18" s="350"/>
      <c r="BC18" s="350"/>
      <c r="BD18" s="350"/>
      <c r="BE18" s="350"/>
      <c r="BF18" s="350"/>
      <c r="BG18" s="350"/>
      <c r="BH18" s="350"/>
      <c r="BI18" s="350"/>
      <c r="BJ18" s="350"/>
      <c r="BK18" s="350"/>
      <c r="BL18" s="351"/>
    </row>
    <row r="19" spans="1:64" x14ac:dyDescent="0.25">
      <c r="A19" s="605"/>
      <c r="B19" s="607"/>
      <c r="C19" s="325" t="s">
        <v>507</v>
      </c>
      <c r="D19" s="402" t="s">
        <v>499</v>
      </c>
      <c r="E19" s="385">
        <f>(E18-E17)/E17</f>
        <v>-1</v>
      </c>
      <c r="F19" s="326">
        <f t="shared" ref="F19:BL19" si="125">(F18-F17)/F17</f>
        <v>-1</v>
      </c>
      <c r="G19" s="326">
        <f t="shared" si="125"/>
        <v>-1</v>
      </c>
      <c r="H19" s="326">
        <f t="shared" si="125"/>
        <v>-1</v>
      </c>
      <c r="I19" s="326">
        <f t="shared" si="125"/>
        <v>-1</v>
      </c>
      <c r="J19" s="326">
        <f t="shared" si="125"/>
        <v>-1</v>
      </c>
      <c r="K19" s="326">
        <f t="shared" si="125"/>
        <v>-1</v>
      </c>
      <c r="L19" s="326">
        <f t="shared" si="125"/>
        <v>-1</v>
      </c>
      <c r="M19" s="326">
        <f t="shared" si="125"/>
        <v>-1</v>
      </c>
      <c r="N19" s="326">
        <f t="shared" si="125"/>
        <v>-1</v>
      </c>
      <c r="O19" s="326">
        <f t="shared" si="125"/>
        <v>-1</v>
      </c>
      <c r="P19" s="333">
        <f t="shared" si="125"/>
        <v>-1</v>
      </c>
      <c r="Q19" s="326">
        <f t="shared" si="125"/>
        <v>-1</v>
      </c>
      <c r="R19" s="326">
        <f t="shared" si="125"/>
        <v>-1</v>
      </c>
      <c r="S19" s="326">
        <f t="shared" si="125"/>
        <v>-1</v>
      </c>
      <c r="T19" s="326">
        <f t="shared" si="125"/>
        <v>-1</v>
      </c>
      <c r="U19" s="326">
        <f t="shared" si="125"/>
        <v>-1</v>
      </c>
      <c r="V19" s="326">
        <f t="shared" si="125"/>
        <v>-1</v>
      </c>
      <c r="W19" s="326">
        <f t="shared" si="125"/>
        <v>-1</v>
      </c>
      <c r="X19" s="326">
        <f t="shared" si="125"/>
        <v>-1</v>
      </c>
      <c r="Y19" s="326">
        <f t="shared" si="125"/>
        <v>-1</v>
      </c>
      <c r="Z19" s="326">
        <f t="shared" si="125"/>
        <v>-1</v>
      </c>
      <c r="AA19" s="326">
        <f t="shared" si="125"/>
        <v>-1</v>
      </c>
      <c r="AB19" s="326">
        <f t="shared" si="125"/>
        <v>-1</v>
      </c>
      <c r="AC19" s="385">
        <f t="shared" si="125"/>
        <v>-1</v>
      </c>
      <c r="AD19" s="326">
        <f t="shared" si="125"/>
        <v>-1</v>
      </c>
      <c r="AE19" s="326">
        <f t="shared" si="125"/>
        <v>-1</v>
      </c>
      <c r="AF19" s="326">
        <f t="shared" si="125"/>
        <v>-1</v>
      </c>
      <c r="AG19" s="326">
        <f t="shared" si="125"/>
        <v>-1</v>
      </c>
      <c r="AH19" s="326">
        <f t="shared" si="125"/>
        <v>-1</v>
      </c>
      <c r="AI19" s="326">
        <f t="shared" si="125"/>
        <v>-1</v>
      </c>
      <c r="AJ19" s="326">
        <f t="shared" si="125"/>
        <v>-1</v>
      </c>
      <c r="AK19" s="326">
        <f t="shared" si="125"/>
        <v>-1</v>
      </c>
      <c r="AL19" s="326">
        <f t="shared" si="125"/>
        <v>-1</v>
      </c>
      <c r="AM19" s="326">
        <f t="shared" si="125"/>
        <v>-1</v>
      </c>
      <c r="AN19" s="333">
        <f t="shared" si="125"/>
        <v>-1</v>
      </c>
      <c r="AO19" s="326">
        <f t="shared" si="125"/>
        <v>-1</v>
      </c>
      <c r="AP19" s="326">
        <f t="shared" si="125"/>
        <v>-1</v>
      </c>
      <c r="AQ19" s="326">
        <f t="shared" si="125"/>
        <v>-1</v>
      </c>
      <c r="AR19" s="326">
        <f t="shared" si="125"/>
        <v>-1</v>
      </c>
      <c r="AS19" s="326">
        <f t="shared" si="125"/>
        <v>-1</v>
      </c>
      <c r="AT19" s="326">
        <f t="shared" si="125"/>
        <v>-1</v>
      </c>
      <c r="AU19" s="326">
        <f t="shared" si="125"/>
        <v>-1</v>
      </c>
      <c r="AV19" s="326">
        <f t="shared" si="125"/>
        <v>-1</v>
      </c>
      <c r="AW19" s="326">
        <f t="shared" si="125"/>
        <v>-1</v>
      </c>
      <c r="AX19" s="326">
        <f t="shared" si="125"/>
        <v>-1</v>
      </c>
      <c r="AY19" s="326">
        <f t="shared" si="125"/>
        <v>-1</v>
      </c>
      <c r="AZ19" s="326">
        <f t="shared" si="125"/>
        <v>-1</v>
      </c>
      <c r="BA19" s="385">
        <f t="shared" si="125"/>
        <v>-1</v>
      </c>
      <c r="BB19" s="326">
        <f t="shared" si="125"/>
        <v>-1</v>
      </c>
      <c r="BC19" s="326">
        <f t="shared" si="125"/>
        <v>-1</v>
      </c>
      <c r="BD19" s="326">
        <f t="shared" si="125"/>
        <v>-1</v>
      </c>
      <c r="BE19" s="326">
        <f t="shared" si="125"/>
        <v>-1</v>
      </c>
      <c r="BF19" s="326">
        <f t="shared" si="125"/>
        <v>-1</v>
      </c>
      <c r="BG19" s="326">
        <f t="shared" si="125"/>
        <v>-1</v>
      </c>
      <c r="BH19" s="326">
        <f t="shared" si="125"/>
        <v>-1</v>
      </c>
      <c r="BI19" s="326">
        <f t="shared" si="125"/>
        <v>-1</v>
      </c>
      <c r="BJ19" s="326">
        <f t="shared" si="125"/>
        <v>-1</v>
      </c>
      <c r="BK19" s="326">
        <f t="shared" si="125"/>
        <v>-1</v>
      </c>
      <c r="BL19" s="333">
        <f t="shared" si="125"/>
        <v>-1</v>
      </c>
    </row>
    <row r="20" spans="1:64" ht="17" x14ac:dyDescent="0.25">
      <c r="A20" s="605"/>
      <c r="B20" s="607"/>
      <c r="C20" s="372" t="s">
        <v>497</v>
      </c>
      <c r="D20" s="401" t="s">
        <v>509</v>
      </c>
      <c r="E20" s="392">
        <f>'White label websites (WLW)'!$B$5*31</f>
        <v>93</v>
      </c>
      <c r="F20" s="196">
        <f>'White label websites (WLW)'!$B$5*31</f>
        <v>93</v>
      </c>
      <c r="G20" s="196">
        <f>'White label websites (WLW)'!$B$5*31</f>
        <v>93</v>
      </c>
      <c r="H20" s="196">
        <f>'White label websites (WLW)'!$B$5*31</f>
        <v>93</v>
      </c>
      <c r="I20" s="196">
        <f>'White label websites (WLW)'!$B$5*31</f>
        <v>93</v>
      </c>
      <c r="J20" s="196">
        <f>'White label websites (WLW)'!$B$5*31</f>
        <v>93</v>
      </c>
      <c r="K20" s="196">
        <f>'White label websites (WLW)'!$B$5*31</f>
        <v>93</v>
      </c>
      <c r="L20" s="196">
        <f>'White label websites (WLW)'!$B$5*31</f>
        <v>93</v>
      </c>
      <c r="M20" s="196">
        <f>'White label websites (WLW)'!$B$5*31</f>
        <v>93</v>
      </c>
      <c r="N20" s="196">
        <f>'White label websites (WLW)'!$B$5*31</f>
        <v>93</v>
      </c>
      <c r="O20" s="196">
        <f>'White label websites (WLW)'!$B$5*31</f>
        <v>93</v>
      </c>
      <c r="P20" s="393">
        <f>'White label websites (WLW)'!$B$5*31</f>
        <v>93</v>
      </c>
      <c r="Q20" s="196">
        <f>'White label websites (WLW)'!$B$5*31</f>
        <v>93</v>
      </c>
      <c r="R20" s="196">
        <f>'White label websites (WLW)'!$B$5*31</f>
        <v>93</v>
      </c>
      <c r="S20" s="196">
        <f>'White label websites (WLW)'!$B$5*31</f>
        <v>93</v>
      </c>
      <c r="T20" s="196">
        <f>'White label websites (WLW)'!$B$5*31</f>
        <v>93</v>
      </c>
      <c r="U20" s="196">
        <f>'White label websites (WLW)'!$B$5*31</f>
        <v>93</v>
      </c>
      <c r="V20" s="196">
        <f>'White label websites (WLW)'!$B$5*31</f>
        <v>93</v>
      </c>
      <c r="W20" s="196">
        <f>'White label websites (WLW)'!$B$5*31</f>
        <v>93</v>
      </c>
      <c r="X20" s="196">
        <f>'White label websites (WLW)'!$B$5*31</f>
        <v>93</v>
      </c>
      <c r="Y20" s="196">
        <f>'White label websites (WLW)'!$B$5*31</f>
        <v>93</v>
      </c>
      <c r="Z20" s="196">
        <f>'White label websites (WLW)'!$B$5*31</f>
        <v>93</v>
      </c>
      <c r="AA20" s="196">
        <f>'White label websites (WLW)'!$B$5*31</f>
        <v>93</v>
      </c>
      <c r="AB20" s="196">
        <f>'White label websites (WLW)'!$B$5*31</f>
        <v>93</v>
      </c>
      <c r="AC20" s="392">
        <f>'White label websites (WLW)'!$B$5*31</f>
        <v>93</v>
      </c>
      <c r="AD20" s="196">
        <f>'White label websites (WLW)'!$B$5*31</f>
        <v>93</v>
      </c>
      <c r="AE20" s="196">
        <f>'White label websites (WLW)'!$B$5*31</f>
        <v>93</v>
      </c>
      <c r="AF20" s="196">
        <f>'White label websites (WLW)'!$B$5*31</f>
        <v>93</v>
      </c>
      <c r="AG20" s="196">
        <f>'White label websites (WLW)'!$B$5*31</f>
        <v>93</v>
      </c>
      <c r="AH20" s="196">
        <f>'White label websites (WLW)'!$B$5*31</f>
        <v>93</v>
      </c>
      <c r="AI20" s="196">
        <f>'White label websites (WLW)'!$B$5*31</f>
        <v>93</v>
      </c>
      <c r="AJ20" s="196">
        <f>'White label websites (WLW)'!$B$5*31</f>
        <v>93</v>
      </c>
      <c r="AK20" s="196">
        <f>'White label websites (WLW)'!$B$5*31</f>
        <v>93</v>
      </c>
      <c r="AL20" s="196">
        <f>'White label websites (WLW)'!$B$5*31</f>
        <v>93</v>
      </c>
      <c r="AM20" s="196">
        <f>'White label websites (WLW)'!$B$5*31</f>
        <v>93</v>
      </c>
      <c r="AN20" s="393">
        <f>'White label websites (WLW)'!$B$5*31</f>
        <v>93</v>
      </c>
      <c r="AO20" s="196">
        <f>'White label websites (WLW)'!$B$5*31</f>
        <v>93</v>
      </c>
      <c r="AP20" s="196">
        <f>'White label websites (WLW)'!$B$5*31</f>
        <v>93</v>
      </c>
      <c r="AQ20" s="196">
        <f>'White label websites (WLW)'!$B$5*31</f>
        <v>93</v>
      </c>
      <c r="AR20" s="196">
        <f>'White label websites (WLW)'!$B$5*31</f>
        <v>93</v>
      </c>
      <c r="AS20" s="196">
        <f>'White label websites (WLW)'!$B$5*31</f>
        <v>93</v>
      </c>
      <c r="AT20" s="196">
        <f>'White label websites (WLW)'!$B$5*31</f>
        <v>93</v>
      </c>
      <c r="AU20" s="196">
        <f>'White label websites (WLW)'!$B$5*31</f>
        <v>93</v>
      </c>
      <c r="AV20" s="196">
        <f>'White label websites (WLW)'!$B$5*31</f>
        <v>93</v>
      </c>
      <c r="AW20" s="196">
        <f>'White label websites (WLW)'!$B$5*31</f>
        <v>93</v>
      </c>
      <c r="AX20" s="196">
        <f>'White label websites (WLW)'!$B$5*31</f>
        <v>93</v>
      </c>
      <c r="AY20" s="196">
        <f>'White label websites (WLW)'!$B$5*31</f>
        <v>93</v>
      </c>
      <c r="AZ20" s="196">
        <f>'White label websites (WLW)'!$B$5*31</f>
        <v>93</v>
      </c>
      <c r="BA20" s="392">
        <f>'White label websites (WLW)'!$B$5*31</f>
        <v>93</v>
      </c>
      <c r="BB20" s="196">
        <f>'White label websites (WLW)'!$B$5*31</f>
        <v>93</v>
      </c>
      <c r="BC20" s="196">
        <f>'White label websites (WLW)'!$B$5*31</f>
        <v>93</v>
      </c>
      <c r="BD20" s="196">
        <f>'White label websites (WLW)'!$B$5*31</f>
        <v>93</v>
      </c>
      <c r="BE20" s="196">
        <f>'White label websites (WLW)'!$B$5*31</f>
        <v>93</v>
      </c>
      <c r="BF20" s="196">
        <f>'White label websites (WLW)'!$B$5*31</f>
        <v>93</v>
      </c>
      <c r="BG20" s="196">
        <f>'White label websites (WLW)'!$B$5*31</f>
        <v>93</v>
      </c>
      <c r="BH20" s="196">
        <f>'White label websites (WLW)'!$B$5*31</f>
        <v>93</v>
      </c>
      <c r="BI20" s="196">
        <f>'White label websites (WLW)'!$B$5*31</f>
        <v>93</v>
      </c>
      <c r="BJ20" s="196">
        <f>'White label websites (WLW)'!$B$5*31</f>
        <v>93</v>
      </c>
      <c r="BK20" s="196">
        <f>'White label websites (WLW)'!$B$5*31</f>
        <v>93</v>
      </c>
      <c r="BL20" s="393">
        <f>'White label websites (WLW)'!$B$5*31</f>
        <v>93</v>
      </c>
    </row>
    <row r="21" spans="1:64" ht="17" x14ac:dyDescent="0.25">
      <c r="A21" s="605"/>
      <c r="B21" s="607"/>
      <c r="C21" s="373" t="s">
        <v>498</v>
      </c>
      <c r="D21" s="402" t="s">
        <v>509</v>
      </c>
      <c r="E21" s="39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1"/>
      <c r="Q21" s="350"/>
      <c r="R21" s="350"/>
      <c r="S21" s="350"/>
      <c r="T21" s="350"/>
      <c r="U21" s="350"/>
      <c r="V21" s="350"/>
      <c r="W21" s="350"/>
      <c r="X21" s="350"/>
      <c r="Y21" s="350"/>
      <c r="Z21" s="350"/>
      <c r="AA21" s="350"/>
      <c r="AB21" s="350"/>
      <c r="AC21" s="390"/>
      <c r="AD21" s="350"/>
      <c r="AE21" s="350"/>
      <c r="AF21" s="350"/>
      <c r="AG21" s="350"/>
      <c r="AH21" s="350"/>
      <c r="AI21" s="350"/>
      <c r="AJ21" s="350"/>
      <c r="AK21" s="350"/>
      <c r="AL21" s="350"/>
      <c r="AM21" s="350"/>
      <c r="AN21" s="351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390"/>
      <c r="BB21" s="350"/>
      <c r="BC21" s="350"/>
      <c r="BD21" s="350"/>
      <c r="BE21" s="350"/>
      <c r="BF21" s="350"/>
      <c r="BG21" s="350"/>
      <c r="BH21" s="350"/>
      <c r="BI21" s="350"/>
      <c r="BJ21" s="350"/>
      <c r="BK21" s="350"/>
      <c r="BL21" s="351"/>
    </row>
    <row r="22" spans="1:64" x14ac:dyDescent="0.25">
      <c r="A22" s="605"/>
      <c r="B22" s="607"/>
      <c r="C22" s="370" t="s">
        <v>507</v>
      </c>
      <c r="D22" s="403" t="s">
        <v>499</v>
      </c>
      <c r="E22" s="382">
        <f>(E21-E20)/E20</f>
        <v>-1</v>
      </c>
      <c r="F22" s="371">
        <f t="shared" ref="F22" si="126">(F21-F20)/F20</f>
        <v>-1</v>
      </c>
      <c r="G22" s="371">
        <f t="shared" ref="G22" si="127">(G21-G20)/G20</f>
        <v>-1</v>
      </c>
      <c r="H22" s="371">
        <f t="shared" ref="H22" si="128">(H21-H20)/H20</f>
        <v>-1</v>
      </c>
      <c r="I22" s="371">
        <f t="shared" ref="I22" si="129">(I21-I20)/I20</f>
        <v>-1</v>
      </c>
      <c r="J22" s="371">
        <f t="shared" ref="J22" si="130">(J21-J20)/J20</f>
        <v>-1</v>
      </c>
      <c r="K22" s="371">
        <f t="shared" ref="K22" si="131">(K21-K20)/K20</f>
        <v>-1</v>
      </c>
      <c r="L22" s="371">
        <f t="shared" ref="L22" si="132">(L21-L20)/L20</f>
        <v>-1</v>
      </c>
      <c r="M22" s="371">
        <f t="shared" ref="M22" si="133">(M21-M20)/M20</f>
        <v>-1</v>
      </c>
      <c r="N22" s="371">
        <f t="shared" ref="N22" si="134">(N21-N20)/N20</f>
        <v>-1</v>
      </c>
      <c r="O22" s="371">
        <f t="shared" ref="O22" si="135">(O21-O20)/O20</f>
        <v>-1</v>
      </c>
      <c r="P22" s="383">
        <f t="shared" ref="P22" si="136">(P21-P20)/P20</f>
        <v>-1</v>
      </c>
      <c r="Q22" s="371">
        <f t="shared" ref="Q22" si="137">(Q21-Q20)/Q20</f>
        <v>-1</v>
      </c>
      <c r="R22" s="371">
        <f t="shared" ref="R22" si="138">(R21-R20)/R20</f>
        <v>-1</v>
      </c>
      <c r="S22" s="371">
        <f t="shared" ref="S22" si="139">(S21-S20)/S20</f>
        <v>-1</v>
      </c>
      <c r="T22" s="371">
        <f t="shared" ref="T22" si="140">(T21-T20)/T20</f>
        <v>-1</v>
      </c>
      <c r="U22" s="371">
        <f t="shared" ref="U22" si="141">(U21-U20)/U20</f>
        <v>-1</v>
      </c>
      <c r="V22" s="371">
        <f t="shared" ref="V22" si="142">(V21-V20)/V20</f>
        <v>-1</v>
      </c>
      <c r="W22" s="371">
        <f t="shared" ref="W22" si="143">(W21-W20)/W20</f>
        <v>-1</v>
      </c>
      <c r="X22" s="371">
        <f t="shared" ref="X22" si="144">(X21-X20)/X20</f>
        <v>-1</v>
      </c>
      <c r="Y22" s="371">
        <f t="shared" ref="Y22" si="145">(Y21-Y20)/Y20</f>
        <v>-1</v>
      </c>
      <c r="Z22" s="371">
        <f t="shared" ref="Z22" si="146">(Z21-Z20)/Z20</f>
        <v>-1</v>
      </c>
      <c r="AA22" s="371">
        <f t="shared" ref="AA22" si="147">(AA21-AA20)/AA20</f>
        <v>-1</v>
      </c>
      <c r="AB22" s="371">
        <f t="shared" ref="AB22" si="148">(AB21-AB20)/AB20</f>
        <v>-1</v>
      </c>
      <c r="AC22" s="382">
        <f t="shared" ref="AC22" si="149">(AC21-AC20)/AC20</f>
        <v>-1</v>
      </c>
      <c r="AD22" s="371">
        <f t="shared" ref="AD22" si="150">(AD21-AD20)/AD20</f>
        <v>-1</v>
      </c>
      <c r="AE22" s="371">
        <f t="shared" ref="AE22" si="151">(AE21-AE20)/AE20</f>
        <v>-1</v>
      </c>
      <c r="AF22" s="371">
        <f t="shared" ref="AF22" si="152">(AF21-AF20)/AF20</f>
        <v>-1</v>
      </c>
      <c r="AG22" s="371">
        <f t="shared" ref="AG22" si="153">(AG21-AG20)/AG20</f>
        <v>-1</v>
      </c>
      <c r="AH22" s="371">
        <f t="shared" ref="AH22" si="154">(AH21-AH20)/AH20</f>
        <v>-1</v>
      </c>
      <c r="AI22" s="371">
        <f t="shared" ref="AI22" si="155">(AI21-AI20)/AI20</f>
        <v>-1</v>
      </c>
      <c r="AJ22" s="371">
        <f t="shared" ref="AJ22" si="156">(AJ21-AJ20)/AJ20</f>
        <v>-1</v>
      </c>
      <c r="AK22" s="371">
        <f t="shared" ref="AK22" si="157">(AK21-AK20)/AK20</f>
        <v>-1</v>
      </c>
      <c r="AL22" s="371">
        <f t="shared" ref="AL22" si="158">(AL21-AL20)/AL20</f>
        <v>-1</v>
      </c>
      <c r="AM22" s="371">
        <f t="shared" ref="AM22" si="159">(AM21-AM20)/AM20</f>
        <v>-1</v>
      </c>
      <c r="AN22" s="383">
        <f t="shared" ref="AN22" si="160">(AN21-AN20)/AN20</f>
        <v>-1</v>
      </c>
      <c r="AO22" s="371">
        <f t="shared" ref="AO22" si="161">(AO21-AO20)/AO20</f>
        <v>-1</v>
      </c>
      <c r="AP22" s="371">
        <f t="shared" ref="AP22" si="162">(AP21-AP20)/AP20</f>
        <v>-1</v>
      </c>
      <c r="AQ22" s="371">
        <f t="shared" ref="AQ22" si="163">(AQ21-AQ20)/AQ20</f>
        <v>-1</v>
      </c>
      <c r="AR22" s="371">
        <f t="shared" ref="AR22" si="164">(AR21-AR20)/AR20</f>
        <v>-1</v>
      </c>
      <c r="AS22" s="371">
        <f t="shared" ref="AS22" si="165">(AS21-AS20)/AS20</f>
        <v>-1</v>
      </c>
      <c r="AT22" s="371">
        <f t="shared" ref="AT22" si="166">(AT21-AT20)/AT20</f>
        <v>-1</v>
      </c>
      <c r="AU22" s="371">
        <f t="shared" ref="AU22" si="167">(AU21-AU20)/AU20</f>
        <v>-1</v>
      </c>
      <c r="AV22" s="371">
        <f t="shared" ref="AV22" si="168">(AV21-AV20)/AV20</f>
        <v>-1</v>
      </c>
      <c r="AW22" s="371">
        <f t="shared" ref="AW22" si="169">(AW21-AW20)/AW20</f>
        <v>-1</v>
      </c>
      <c r="AX22" s="371">
        <f t="shared" ref="AX22" si="170">(AX21-AX20)/AX20</f>
        <v>-1</v>
      </c>
      <c r="AY22" s="371">
        <f t="shared" ref="AY22" si="171">(AY21-AY20)/AY20</f>
        <v>-1</v>
      </c>
      <c r="AZ22" s="371">
        <f t="shared" ref="AZ22" si="172">(AZ21-AZ20)/AZ20</f>
        <v>-1</v>
      </c>
      <c r="BA22" s="382">
        <f t="shared" ref="BA22" si="173">(BA21-BA20)/BA20</f>
        <v>-1</v>
      </c>
      <c r="BB22" s="371">
        <f t="shared" ref="BB22" si="174">(BB21-BB20)/BB20</f>
        <v>-1</v>
      </c>
      <c r="BC22" s="371">
        <f t="shared" ref="BC22" si="175">(BC21-BC20)/BC20</f>
        <v>-1</v>
      </c>
      <c r="BD22" s="371">
        <f t="shared" ref="BD22" si="176">(BD21-BD20)/BD20</f>
        <v>-1</v>
      </c>
      <c r="BE22" s="371">
        <f t="shared" ref="BE22" si="177">(BE21-BE20)/BE20</f>
        <v>-1</v>
      </c>
      <c r="BF22" s="371">
        <f t="shared" ref="BF22" si="178">(BF21-BF20)/BF20</f>
        <v>-1</v>
      </c>
      <c r="BG22" s="371">
        <f t="shared" ref="BG22" si="179">(BG21-BG20)/BG20</f>
        <v>-1</v>
      </c>
      <c r="BH22" s="371">
        <f t="shared" ref="BH22" si="180">(BH21-BH20)/BH20</f>
        <v>-1</v>
      </c>
      <c r="BI22" s="371">
        <f t="shared" ref="BI22" si="181">(BI21-BI20)/BI20</f>
        <v>-1</v>
      </c>
      <c r="BJ22" s="371">
        <f t="shared" ref="BJ22" si="182">(BJ21-BJ20)/BJ20</f>
        <v>-1</v>
      </c>
      <c r="BK22" s="371">
        <f t="shared" ref="BK22" si="183">(BK21-BK20)/BK20</f>
        <v>-1</v>
      </c>
      <c r="BL22" s="383">
        <f t="shared" ref="BL22" si="184">(BL21-BL20)/BL20</f>
        <v>-1</v>
      </c>
    </row>
    <row r="23" spans="1:64" ht="16" customHeight="1" x14ac:dyDescent="0.25">
      <c r="A23" s="605"/>
      <c r="B23" s="607"/>
      <c r="C23" s="372" t="s">
        <v>497</v>
      </c>
      <c r="D23" s="401" t="s">
        <v>510</v>
      </c>
      <c r="E23" s="379">
        <f>'White label websites (WLW)'!$B$8</f>
        <v>12</v>
      </c>
      <c r="F23" s="367">
        <f>'White label websites (WLW)'!$B$8</f>
        <v>12</v>
      </c>
      <c r="G23" s="367">
        <f>'White label websites (WLW)'!$B$8</f>
        <v>12</v>
      </c>
      <c r="H23" s="367">
        <f>'White label websites (WLW)'!$B$8</f>
        <v>12</v>
      </c>
      <c r="I23" s="367">
        <f>'White label websites (WLW)'!$B$8</f>
        <v>12</v>
      </c>
      <c r="J23" s="367">
        <f>'White label websites (WLW)'!$B$8</f>
        <v>12</v>
      </c>
      <c r="K23" s="367">
        <f>'White label websites (WLW)'!$B$8</f>
        <v>12</v>
      </c>
      <c r="L23" s="367">
        <f>'White label websites (WLW)'!$B$8</f>
        <v>12</v>
      </c>
      <c r="M23" s="367">
        <f>'White label websites (WLW)'!$B$8</f>
        <v>12</v>
      </c>
      <c r="N23" s="367">
        <f>'White label websites (WLW)'!$B$8</f>
        <v>12</v>
      </c>
      <c r="O23" s="367">
        <f>'White label websites (WLW)'!$B$8</f>
        <v>12</v>
      </c>
      <c r="P23" s="380">
        <f>'White label websites (WLW)'!$B$8</f>
        <v>12</v>
      </c>
      <c r="Q23" s="367">
        <f>'White label websites (WLW)'!$B$8</f>
        <v>12</v>
      </c>
      <c r="R23" s="367">
        <f>'White label websites (WLW)'!$B$8</f>
        <v>12</v>
      </c>
      <c r="S23" s="367">
        <f>'White label websites (WLW)'!$B$8</f>
        <v>12</v>
      </c>
      <c r="T23" s="367">
        <f>'White label websites (WLW)'!$B$8</f>
        <v>12</v>
      </c>
      <c r="U23" s="367">
        <f>'White label websites (WLW)'!$B$8</f>
        <v>12</v>
      </c>
      <c r="V23" s="367">
        <f>'White label websites (WLW)'!$B$8</f>
        <v>12</v>
      </c>
      <c r="W23" s="367">
        <f>'White label websites (WLW)'!$B$8</f>
        <v>12</v>
      </c>
      <c r="X23" s="367">
        <f>'White label websites (WLW)'!$B$8</f>
        <v>12</v>
      </c>
      <c r="Y23" s="367">
        <f>'White label websites (WLW)'!$B$8</f>
        <v>12</v>
      </c>
      <c r="Z23" s="367">
        <f>'White label websites (WLW)'!$B$8</f>
        <v>12</v>
      </c>
      <c r="AA23" s="367">
        <f>'White label websites (WLW)'!$B$8</f>
        <v>12</v>
      </c>
      <c r="AB23" s="367">
        <f>'White label websites (WLW)'!$B$8</f>
        <v>12</v>
      </c>
      <c r="AC23" s="379">
        <f>'White label websites (WLW)'!$B$8</f>
        <v>12</v>
      </c>
      <c r="AD23" s="367">
        <f>'White label websites (WLW)'!$B$8</f>
        <v>12</v>
      </c>
      <c r="AE23" s="367">
        <f>'White label websites (WLW)'!$B$8</f>
        <v>12</v>
      </c>
      <c r="AF23" s="367">
        <f>'White label websites (WLW)'!$B$8</f>
        <v>12</v>
      </c>
      <c r="AG23" s="367">
        <f>'White label websites (WLW)'!$B$8</f>
        <v>12</v>
      </c>
      <c r="AH23" s="367">
        <f>'White label websites (WLW)'!$B$8</f>
        <v>12</v>
      </c>
      <c r="AI23" s="367">
        <f>'White label websites (WLW)'!$B$8</f>
        <v>12</v>
      </c>
      <c r="AJ23" s="367">
        <f>'White label websites (WLW)'!$B$8</f>
        <v>12</v>
      </c>
      <c r="AK23" s="367">
        <f>'White label websites (WLW)'!$B$8</f>
        <v>12</v>
      </c>
      <c r="AL23" s="367">
        <f>'White label websites (WLW)'!$B$8</f>
        <v>12</v>
      </c>
      <c r="AM23" s="367">
        <f>'White label websites (WLW)'!$B$8</f>
        <v>12</v>
      </c>
      <c r="AN23" s="380">
        <f>'White label websites (WLW)'!$B$8</f>
        <v>12</v>
      </c>
      <c r="AO23" s="367">
        <f>'White label websites (WLW)'!$B$8</f>
        <v>12</v>
      </c>
      <c r="AP23" s="367">
        <f>'White label websites (WLW)'!$B$8</f>
        <v>12</v>
      </c>
      <c r="AQ23" s="367">
        <f>'White label websites (WLW)'!$B$8</f>
        <v>12</v>
      </c>
      <c r="AR23" s="367">
        <f>'White label websites (WLW)'!$B$8</f>
        <v>12</v>
      </c>
      <c r="AS23" s="367">
        <f>'White label websites (WLW)'!$B$8</f>
        <v>12</v>
      </c>
      <c r="AT23" s="367">
        <f>'White label websites (WLW)'!$B$8</f>
        <v>12</v>
      </c>
      <c r="AU23" s="367">
        <f>'White label websites (WLW)'!$B$8</f>
        <v>12</v>
      </c>
      <c r="AV23" s="367">
        <f>'White label websites (WLW)'!$B$8</f>
        <v>12</v>
      </c>
      <c r="AW23" s="367">
        <f>'White label websites (WLW)'!$B$8</f>
        <v>12</v>
      </c>
      <c r="AX23" s="367">
        <f>'White label websites (WLW)'!$B$8</f>
        <v>12</v>
      </c>
      <c r="AY23" s="367">
        <f>'White label websites (WLW)'!$B$8</f>
        <v>12</v>
      </c>
      <c r="AZ23" s="367">
        <f>'White label websites (WLW)'!$B$8</f>
        <v>12</v>
      </c>
      <c r="BA23" s="379">
        <f>'White label websites (WLW)'!$B$8</f>
        <v>12</v>
      </c>
      <c r="BB23" s="367">
        <f>'White label websites (WLW)'!$B$8</f>
        <v>12</v>
      </c>
      <c r="BC23" s="367">
        <f>'White label websites (WLW)'!$B$8</f>
        <v>12</v>
      </c>
      <c r="BD23" s="367">
        <f>'White label websites (WLW)'!$B$8</f>
        <v>12</v>
      </c>
      <c r="BE23" s="367">
        <f>'White label websites (WLW)'!$B$8</f>
        <v>12</v>
      </c>
      <c r="BF23" s="367">
        <f>'White label websites (WLW)'!$B$8</f>
        <v>12</v>
      </c>
      <c r="BG23" s="367">
        <f>'White label websites (WLW)'!$B$8</f>
        <v>12</v>
      </c>
      <c r="BH23" s="367">
        <f>'White label websites (WLW)'!$B$8</f>
        <v>12</v>
      </c>
      <c r="BI23" s="367">
        <f>'White label websites (WLW)'!$B$8</f>
        <v>12</v>
      </c>
      <c r="BJ23" s="367">
        <f>'White label websites (WLW)'!$B$8</f>
        <v>12</v>
      </c>
      <c r="BK23" s="367">
        <f>'White label websites (WLW)'!$B$8</f>
        <v>12</v>
      </c>
      <c r="BL23" s="380">
        <f>'White label websites (WLW)'!$B$8</f>
        <v>12</v>
      </c>
    </row>
    <row r="24" spans="1:64" ht="17" x14ac:dyDescent="0.25">
      <c r="A24" s="605"/>
      <c r="B24" s="607"/>
      <c r="C24" s="373" t="s">
        <v>498</v>
      </c>
      <c r="D24" s="402" t="s">
        <v>510</v>
      </c>
      <c r="E24" s="39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1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9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1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  <c r="BA24" s="390"/>
      <c r="BB24" s="350"/>
      <c r="BC24" s="350"/>
      <c r="BD24" s="350"/>
      <c r="BE24" s="350"/>
      <c r="BF24" s="350"/>
      <c r="BG24" s="350"/>
      <c r="BH24" s="350"/>
      <c r="BI24" s="350"/>
      <c r="BJ24" s="350"/>
      <c r="BK24" s="350"/>
      <c r="BL24" s="351"/>
    </row>
    <row r="25" spans="1:64" x14ac:dyDescent="0.25">
      <c r="A25" s="605"/>
      <c r="B25" s="607"/>
      <c r="C25" s="370" t="s">
        <v>507</v>
      </c>
      <c r="D25" s="403" t="s">
        <v>499</v>
      </c>
      <c r="E25" s="382">
        <f t="shared" ref="E25:AJ25" si="185">(E24-E23)/E23</f>
        <v>-1</v>
      </c>
      <c r="F25" s="371">
        <f t="shared" si="185"/>
        <v>-1</v>
      </c>
      <c r="G25" s="371">
        <f t="shared" si="185"/>
        <v>-1</v>
      </c>
      <c r="H25" s="371">
        <f t="shared" si="185"/>
        <v>-1</v>
      </c>
      <c r="I25" s="371">
        <f t="shared" si="185"/>
        <v>-1</v>
      </c>
      <c r="J25" s="371">
        <f t="shared" si="185"/>
        <v>-1</v>
      </c>
      <c r="K25" s="371">
        <f t="shared" si="185"/>
        <v>-1</v>
      </c>
      <c r="L25" s="371">
        <f t="shared" si="185"/>
        <v>-1</v>
      </c>
      <c r="M25" s="371">
        <f t="shared" si="185"/>
        <v>-1</v>
      </c>
      <c r="N25" s="371">
        <f t="shared" si="185"/>
        <v>-1</v>
      </c>
      <c r="O25" s="371">
        <f t="shared" si="185"/>
        <v>-1</v>
      </c>
      <c r="P25" s="383">
        <f t="shared" si="185"/>
        <v>-1</v>
      </c>
      <c r="Q25" s="371">
        <f t="shared" si="185"/>
        <v>-1</v>
      </c>
      <c r="R25" s="371">
        <f t="shared" si="185"/>
        <v>-1</v>
      </c>
      <c r="S25" s="371">
        <f t="shared" si="185"/>
        <v>-1</v>
      </c>
      <c r="T25" s="371">
        <f t="shared" si="185"/>
        <v>-1</v>
      </c>
      <c r="U25" s="371">
        <f t="shared" si="185"/>
        <v>-1</v>
      </c>
      <c r="V25" s="371">
        <f t="shared" si="185"/>
        <v>-1</v>
      </c>
      <c r="W25" s="371">
        <f t="shared" si="185"/>
        <v>-1</v>
      </c>
      <c r="X25" s="371">
        <f t="shared" si="185"/>
        <v>-1</v>
      </c>
      <c r="Y25" s="371">
        <f t="shared" si="185"/>
        <v>-1</v>
      </c>
      <c r="Z25" s="371">
        <f t="shared" si="185"/>
        <v>-1</v>
      </c>
      <c r="AA25" s="371">
        <f t="shared" si="185"/>
        <v>-1</v>
      </c>
      <c r="AB25" s="371">
        <f t="shared" si="185"/>
        <v>-1</v>
      </c>
      <c r="AC25" s="382">
        <f t="shared" si="185"/>
        <v>-1</v>
      </c>
      <c r="AD25" s="371">
        <f t="shared" si="185"/>
        <v>-1</v>
      </c>
      <c r="AE25" s="371">
        <f t="shared" si="185"/>
        <v>-1</v>
      </c>
      <c r="AF25" s="371">
        <f t="shared" si="185"/>
        <v>-1</v>
      </c>
      <c r="AG25" s="371">
        <f t="shared" si="185"/>
        <v>-1</v>
      </c>
      <c r="AH25" s="371">
        <f t="shared" si="185"/>
        <v>-1</v>
      </c>
      <c r="AI25" s="371">
        <f t="shared" si="185"/>
        <v>-1</v>
      </c>
      <c r="AJ25" s="371">
        <f t="shared" si="185"/>
        <v>-1</v>
      </c>
      <c r="AK25" s="371">
        <f t="shared" ref="AK25:BL25" si="186">(AK24-AK23)/AK23</f>
        <v>-1</v>
      </c>
      <c r="AL25" s="371">
        <f t="shared" si="186"/>
        <v>-1</v>
      </c>
      <c r="AM25" s="371">
        <f t="shared" si="186"/>
        <v>-1</v>
      </c>
      <c r="AN25" s="383">
        <f t="shared" si="186"/>
        <v>-1</v>
      </c>
      <c r="AO25" s="371">
        <f t="shared" si="186"/>
        <v>-1</v>
      </c>
      <c r="AP25" s="371">
        <f t="shared" si="186"/>
        <v>-1</v>
      </c>
      <c r="AQ25" s="371">
        <f t="shared" si="186"/>
        <v>-1</v>
      </c>
      <c r="AR25" s="371">
        <f t="shared" si="186"/>
        <v>-1</v>
      </c>
      <c r="AS25" s="371">
        <f t="shared" si="186"/>
        <v>-1</v>
      </c>
      <c r="AT25" s="371">
        <f t="shared" si="186"/>
        <v>-1</v>
      </c>
      <c r="AU25" s="371">
        <f t="shared" si="186"/>
        <v>-1</v>
      </c>
      <c r="AV25" s="371">
        <f t="shared" si="186"/>
        <v>-1</v>
      </c>
      <c r="AW25" s="371">
        <f t="shared" si="186"/>
        <v>-1</v>
      </c>
      <c r="AX25" s="371">
        <f t="shared" si="186"/>
        <v>-1</v>
      </c>
      <c r="AY25" s="371">
        <f t="shared" si="186"/>
        <v>-1</v>
      </c>
      <c r="AZ25" s="371">
        <f t="shared" si="186"/>
        <v>-1</v>
      </c>
      <c r="BA25" s="382">
        <f t="shared" si="186"/>
        <v>-1</v>
      </c>
      <c r="BB25" s="371">
        <f t="shared" si="186"/>
        <v>-1</v>
      </c>
      <c r="BC25" s="371">
        <f t="shared" si="186"/>
        <v>-1</v>
      </c>
      <c r="BD25" s="371">
        <f t="shared" si="186"/>
        <v>-1</v>
      </c>
      <c r="BE25" s="371">
        <f t="shared" si="186"/>
        <v>-1</v>
      </c>
      <c r="BF25" s="371">
        <f t="shared" si="186"/>
        <v>-1</v>
      </c>
      <c r="BG25" s="371">
        <f t="shared" si="186"/>
        <v>-1</v>
      </c>
      <c r="BH25" s="371">
        <f t="shared" si="186"/>
        <v>-1</v>
      </c>
      <c r="BI25" s="371">
        <f t="shared" si="186"/>
        <v>-1</v>
      </c>
      <c r="BJ25" s="371">
        <f t="shared" si="186"/>
        <v>-1</v>
      </c>
      <c r="BK25" s="371">
        <f t="shared" si="186"/>
        <v>-1</v>
      </c>
      <c r="BL25" s="383">
        <f t="shared" si="186"/>
        <v>-1</v>
      </c>
    </row>
    <row r="26" spans="1:64" ht="17" x14ac:dyDescent="0.25">
      <c r="A26" s="605"/>
      <c r="B26" s="607"/>
      <c r="C26" s="343" t="s">
        <v>497</v>
      </c>
      <c r="D26" s="402" t="s">
        <v>516</v>
      </c>
      <c r="E26" s="394">
        <f>'White label websites (WLW)'!C69</f>
        <v>1</v>
      </c>
      <c r="F26" s="353">
        <f>'White label websites (WLW)'!D69</f>
        <v>1</v>
      </c>
      <c r="G26" s="353">
        <f>'White label websites (WLW)'!E69</f>
        <v>1</v>
      </c>
      <c r="H26" s="353">
        <f>'White label websites (WLW)'!F69</f>
        <v>1</v>
      </c>
      <c r="I26" s="353">
        <f>'White label websites (WLW)'!G69</f>
        <v>1</v>
      </c>
      <c r="J26" s="353">
        <f>'White label websites (WLW)'!H69</f>
        <v>1</v>
      </c>
      <c r="K26" s="353">
        <f>'White label websites (WLW)'!I69</f>
        <v>1</v>
      </c>
      <c r="L26" s="353">
        <f>'White label websites (WLW)'!J69</f>
        <v>3</v>
      </c>
      <c r="M26" s="353">
        <f>'White label websites (WLW)'!K69</f>
        <v>4</v>
      </c>
      <c r="N26" s="353">
        <f>'White label websites (WLW)'!L69</f>
        <v>6</v>
      </c>
      <c r="O26" s="353">
        <f>'White label websites (WLW)'!M69</f>
        <v>8</v>
      </c>
      <c r="P26" s="354">
        <f>'White label websites (WLW)'!N69</f>
        <v>10</v>
      </c>
      <c r="Q26" s="353">
        <f>P26*(1+'White label websites (WLW)'!$H$22)</f>
        <v>10.3</v>
      </c>
      <c r="R26" s="353">
        <f>Q26*(1+'White label websites (WLW)'!$H$22)</f>
        <v>10.609000000000002</v>
      </c>
      <c r="S26" s="353">
        <f>R26*(1+'White label websites (WLW)'!$H$22)</f>
        <v>10.927270000000002</v>
      </c>
      <c r="T26" s="353">
        <f>S26*(1+'White label websites (WLW)'!$H$22)</f>
        <v>11.255088100000002</v>
      </c>
      <c r="U26" s="353">
        <f>T26*(1+'White label websites (WLW)'!$H$22)</f>
        <v>11.592740743000002</v>
      </c>
      <c r="V26" s="353">
        <f>U26*(1+'White label websites (WLW)'!$H$22)</f>
        <v>11.940522965290002</v>
      </c>
      <c r="W26" s="353">
        <f>V26*(1+'White label websites (WLW)'!$H$22)</f>
        <v>12.298738654248703</v>
      </c>
      <c r="X26" s="353">
        <f>W26*(1+'White label websites (WLW)'!$H$22)</f>
        <v>12.667700813876165</v>
      </c>
      <c r="Y26" s="353">
        <f>X26*(1+'White label websites (WLW)'!$H$22)</f>
        <v>13.047731838292449</v>
      </c>
      <c r="Z26" s="353">
        <f>Y26*(1+'White label websites (WLW)'!$H$22)</f>
        <v>13.439163793441223</v>
      </c>
      <c r="AA26" s="353">
        <f>Z26*(1+'White label websites (WLW)'!$H$22)</f>
        <v>13.84233870724446</v>
      </c>
      <c r="AB26" s="353">
        <f>AA26*(1+'White label websites (WLW)'!$H$22)</f>
        <v>14.257608868461794</v>
      </c>
      <c r="AC26" s="394">
        <f>AB26*(1+'White label websites (WLW)'!$H$22)</f>
        <v>14.685337134515649</v>
      </c>
      <c r="AD26" s="353">
        <f>AC26*(1+'White label websites (WLW)'!$H$22)</f>
        <v>15.125897248551119</v>
      </c>
      <c r="AE26" s="353">
        <f>AD26*(1+'White label websites (WLW)'!$H$22)</f>
        <v>15.579674166007653</v>
      </c>
      <c r="AF26" s="353">
        <f>AE26*(1+'White label websites (WLW)'!$H$22)</f>
        <v>16.047064390987885</v>
      </c>
      <c r="AG26" s="353">
        <f>AF26*(1+'White label websites (WLW)'!$H$22)</f>
        <v>16.52847632271752</v>
      </c>
      <c r="AH26" s="353">
        <f>AG26*(1+'White label websites (WLW)'!$H$22)</f>
        <v>17.024330612399044</v>
      </c>
      <c r="AI26" s="353">
        <f>AH26*(1+'White label websites (WLW)'!$H$22)</f>
        <v>17.535060530771016</v>
      </c>
      <c r="AJ26" s="353">
        <f>AI26*(1+'White label websites (WLW)'!$H$22)</f>
        <v>18.061112346694149</v>
      </c>
      <c r="AK26" s="353">
        <f>AJ26*(1+'White label websites (WLW)'!$H$22)</f>
        <v>18.602945717094972</v>
      </c>
      <c r="AL26" s="353">
        <f>AK26*(1+'White label websites (WLW)'!$H$22)</f>
        <v>19.161034088607821</v>
      </c>
      <c r="AM26" s="353">
        <f>AL26*(1+'White label websites (WLW)'!$H$22)</f>
        <v>19.735865111266055</v>
      </c>
      <c r="AN26" s="354">
        <f>AM26*(1+'White label websites (WLW)'!$H$22)</f>
        <v>20.327941064604037</v>
      </c>
      <c r="AO26" s="353">
        <f>AN26*(1+'White label websites (WLW)'!$H$22)</f>
        <v>20.937779296542157</v>
      </c>
      <c r="AP26" s="353">
        <f>AO26*(1+'White label websites (WLW)'!$H$22)</f>
        <v>21.565912675438422</v>
      </c>
      <c r="AQ26" s="353">
        <f>AP26*(1+'White label websites (WLW)'!$H$22)</f>
        <v>22.212890055701575</v>
      </c>
      <c r="AR26" s="353">
        <f>AQ26*(1+'White label websites (WLW)'!$H$22)</f>
        <v>22.879276757372622</v>
      </c>
      <c r="AS26" s="353">
        <f>AR26*(1+'White label websites (WLW)'!$H$22)</f>
        <v>23.565655060093803</v>
      </c>
      <c r="AT26" s="353">
        <f>AS26*(1+'White label websites (WLW)'!$H$22)</f>
        <v>24.272624711896619</v>
      </c>
      <c r="AU26" s="353">
        <f>AT26*(1+'White label websites (WLW)'!$H$22)</f>
        <v>25.000803453253518</v>
      </c>
      <c r="AV26" s="353">
        <f>AU26*(1+'White label websites (WLW)'!$H$22)</f>
        <v>25.750827556851124</v>
      </c>
      <c r="AW26" s="353">
        <f>AV26*(1+'White label websites (WLW)'!$H$22)</f>
        <v>26.523352383556659</v>
      </c>
      <c r="AX26" s="353">
        <f>AW26*(1+'White label websites (WLW)'!$H$22)</f>
        <v>27.319052955063359</v>
      </c>
      <c r="AY26" s="353">
        <f>AX26*(1+'White label websites (WLW)'!$H$22)</f>
        <v>28.13862454371526</v>
      </c>
      <c r="AZ26" s="353">
        <f>AY26*(1+'White label websites (WLW)'!$H$22)</f>
        <v>28.98278328002672</v>
      </c>
      <c r="BA26" s="394">
        <f>AZ26*(1+'White label websites (WLW)'!$H$22)</f>
        <v>29.852266778427524</v>
      </c>
      <c r="BB26" s="353">
        <f>BA26*(1+'White label websites (WLW)'!$H$22)</f>
        <v>30.747834781780352</v>
      </c>
      <c r="BC26" s="353">
        <f>BB26*(1+'White label websites (WLW)'!$H$22)</f>
        <v>31.670269825233763</v>
      </c>
      <c r="BD26" s="353">
        <f>BC26*(1+'White label websites (WLW)'!$H$22)</f>
        <v>32.62037791999078</v>
      </c>
      <c r="BE26" s="353">
        <f>BD26*(1+'White label websites (WLW)'!$H$22)</f>
        <v>33.598989257590503</v>
      </c>
      <c r="BF26" s="353">
        <f>BE26*(1+'White label websites (WLW)'!$H$22)</f>
        <v>34.606958935318218</v>
      </c>
      <c r="BG26" s="353">
        <f>BF26*(1+'White label websites (WLW)'!$H$22)</f>
        <v>35.645167703377766</v>
      </c>
      <c r="BH26" s="353">
        <f>BG26*(1+'White label websites (WLW)'!$H$22)</f>
        <v>36.714522734479097</v>
      </c>
      <c r="BI26" s="353">
        <f>BH26*(1+'White label websites (WLW)'!$H$22)</f>
        <v>37.815958416513467</v>
      </c>
      <c r="BJ26" s="353">
        <f>BI26*(1+'White label websites (WLW)'!$H$22)</f>
        <v>38.950437169008872</v>
      </c>
      <c r="BK26" s="353">
        <f>BJ26*(1+'White label websites (WLW)'!$H$22)</f>
        <v>40.118950284079141</v>
      </c>
      <c r="BL26" s="354">
        <f>BK26*(1+'White label websites (WLW)'!$H$22)</f>
        <v>41.322518792601514</v>
      </c>
    </row>
    <row r="27" spans="1:64" ht="17" x14ac:dyDescent="0.25">
      <c r="A27" s="605"/>
      <c r="B27" s="607"/>
      <c r="C27" s="343" t="s">
        <v>498</v>
      </c>
      <c r="D27" s="402" t="s">
        <v>516</v>
      </c>
      <c r="E27" s="395">
        <v>1</v>
      </c>
      <c r="F27" s="355">
        <v>2</v>
      </c>
      <c r="G27" s="355">
        <v>2</v>
      </c>
      <c r="H27" s="355"/>
      <c r="I27" s="355"/>
      <c r="J27" s="355"/>
      <c r="K27" s="355"/>
      <c r="L27" s="355"/>
      <c r="M27" s="355"/>
      <c r="N27" s="355"/>
      <c r="O27" s="355"/>
      <c r="P27" s="356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95"/>
      <c r="AD27" s="355"/>
      <c r="AE27" s="355"/>
      <c r="AF27" s="355"/>
      <c r="AG27" s="355"/>
      <c r="AH27" s="355"/>
      <c r="AI27" s="355"/>
      <c r="AJ27" s="355"/>
      <c r="AK27" s="355"/>
      <c r="AL27" s="355"/>
      <c r="AM27" s="355"/>
      <c r="AN27" s="356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9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6"/>
    </row>
    <row r="28" spans="1:64" x14ac:dyDescent="0.25">
      <c r="A28" s="605"/>
      <c r="B28" s="607"/>
      <c r="C28" s="325" t="s">
        <v>507</v>
      </c>
      <c r="D28" s="402" t="s">
        <v>499</v>
      </c>
      <c r="E28" s="385">
        <f t="shared" ref="E28:AJ28" si="187">(E27-E26)/E26</f>
        <v>0</v>
      </c>
      <c r="F28" s="326">
        <f t="shared" si="187"/>
        <v>1</v>
      </c>
      <c r="G28" s="326">
        <f t="shared" si="187"/>
        <v>1</v>
      </c>
      <c r="H28" s="326">
        <f t="shared" si="187"/>
        <v>-1</v>
      </c>
      <c r="I28" s="326">
        <f t="shared" si="187"/>
        <v>-1</v>
      </c>
      <c r="J28" s="326">
        <f t="shared" si="187"/>
        <v>-1</v>
      </c>
      <c r="K28" s="326">
        <f t="shared" si="187"/>
        <v>-1</v>
      </c>
      <c r="L28" s="326">
        <f t="shared" si="187"/>
        <v>-1</v>
      </c>
      <c r="M28" s="326">
        <f t="shared" si="187"/>
        <v>-1</v>
      </c>
      <c r="N28" s="326">
        <f t="shared" si="187"/>
        <v>-1</v>
      </c>
      <c r="O28" s="326">
        <f t="shared" si="187"/>
        <v>-1</v>
      </c>
      <c r="P28" s="333">
        <f t="shared" si="187"/>
        <v>-1</v>
      </c>
      <c r="Q28" s="326">
        <f t="shared" si="187"/>
        <v>-1</v>
      </c>
      <c r="R28" s="326">
        <f t="shared" si="187"/>
        <v>-1</v>
      </c>
      <c r="S28" s="326">
        <f t="shared" si="187"/>
        <v>-1</v>
      </c>
      <c r="T28" s="326">
        <f t="shared" si="187"/>
        <v>-1</v>
      </c>
      <c r="U28" s="326">
        <f t="shared" si="187"/>
        <v>-1</v>
      </c>
      <c r="V28" s="326">
        <f t="shared" si="187"/>
        <v>-1</v>
      </c>
      <c r="W28" s="326">
        <f t="shared" si="187"/>
        <v>-1</v>
      </c>
      <c r="X28" s="326">
        <f t="shared" si="187"/>
        <v>-1</v>
      </c>
      <c r="Y28" s="326">
        <f t="shared" si="187"/>
        <v>-1</v>
      </c>
      <c r="Z28" s="326">
        <f t="shared" si="187"/>
        <v>-1</v>
      </c>
      <c r="AA28" s="326">
        <f t="shared" si="187"/>
        <v>-1</v>
      </c>
      <c r="AB28" s="326">
        <f t="shared" si="187"/>
        <v>-1</v>
      </c>
      <c r="AC28" s="385">
        <f t="shared" si="187"/>
        <v>-1</v>
      </c>
      <c r="AD28" s="326">
        <f t="shared" si="187"/>
        <v>-1</v>
      </c>
      <c r="AE28" s="326">
        <f t="shared" si="187"/>
        <v>-1</v>
      </c>
      <c r="AF28" s="326">
        <f t="shared" si="187"/>
        <v>-1</v>
      </c>
      <c r="AG28" s="326">
        <f t="shared" si="187"/>
        <v>-1</v>
      </c>
      <c r="AH28" s="326">
        <f t="shared" si="187"/>
        <v>-1</v>
      </c>
      <c r="AI28" s="326">
        <f t="shared" si="187"/>
        <v>-1</v>
      </c>
      <c r="AJ28" s="326">
        <f t="shared" si="187"/>
        <v>-1</v>
      </c>
      <c r="AK28" s="326">
        <f t="shared" ref="AK28:BL28" si="188">(AK27-AK26)/AK26</f>
        <v>-1</v>
      </c>
      <c r="AL28" s="326">
        <f t="shared" si="188"/>
        <v>-1</v>
      </c>
      <c r="AM28" s="326">
        <f t="shared" si="188"/>
        <v>-1</v>
      </c>
      <c r="AN28" s="333">
        <f t="shared" si="188"/>
        <v>-1</v>
      </c>
      <c r="AO28" s="326">
        <f t="shared" si="188"/>
        <v>-1</v>
      </c>
      <c r="AP28" s="326">
        <f t="shared" si="188"/>
        <v>-1</v>
      </c>
      <c r="AQ28" s="326">
        <f t="shared" si="188"/>
        <v>-1</v>
      </c>
      <c r="AR28" s="326">
        <f t="shared" si="188"/>
        <v>-1</v>
      </c>
      <c r="AS28" s="326">
        <f t="shared" si="188"/>
        <v>-1</v>
      </c>
      <c r="AT28" s="326">
        <f t="shared" si="188"/>
        <v>-1</v>
      </c>
      <c r="AU28" s="326">
        <f t="shared" si="188"/>
        <v>-1</v>
      </c>
      <c r="AV28" s="326">
        <f t="shared" si="188"/>
        <v>-1</v>
      </c>
      <c r="AW28" s="326">
        <f t="shared" si="188"/>
        <v>-1</v>
      </c>
      <c r="AX28" s="326">
        <f t="shared" si="188"/>
        <v>-1</v>
      </c>
      <c r="AY28" s="326">
        <f t="shared" si="188"/>
        <v>-1</v>
      </c>
      <c r="AZ28" s="326">
        <f t="shared" si="188"/>
        <v>-1</v>
      </c>
      <c r="BA28" s="385">
        <f t="shared" si="188"/>
        <v>-1</v>
      </c>
      <c r="BB28" s="326">
        <f t="shared" si="188"/>
        <v>-1</v>
      </c>
      <c r="BC28" s="326">
        <f t="shared" si="188"/>
        <v>-1</v>
      </c>
      <c r="BD28" s="326">
        <f t="shared" si="188"/>
        <v>-1</v>
      </c>
      <c r="BE28" s="326">
        <f t="shared" si="188"/>
        <v>-1</v>
      </c>
      <c r="BF28" s="326">
        <f t="shared" si="188"/>
        <v>-1</v>
      </c>
      <c r="BG28" s="326">
        <f t="shared" si="188"/>
        <v>-1</v>
      </c>
      <c r="BH28" s="326">
        <f t="shared" si="188"/>
        <v>-1</v>
      </c>
      <c r="BI28" s="326">
        <f t="shared" si="188"/>
        <v>-1</v>
      </c>
      <c r="BJ28" s="326">
        <f t="shared" si="188"/>
        <v>-1</v>
      </c>
      <c r="BK28" s="326">
        <f t="shared" si="188"/>
        <v>-1</v>
      </c>
      <c r="BL28" s="333">
        <f t="shared" si="188"/>
        <v>-1</v>
      </c>
    </row>
    <row r="29" spans="1:64" ht="16" customHeight="1" x14ac:dyDescent="0.25">
      <c r="A29" s="605"/>
      <c r="B29" s="607"/>
      <c r="C29" s="372" t="s">
        <v>497</v>
      </c>
      <c r="D29" s="401" t="s">
        <v>511</v>
      </c>
      <c r="E29" s="396">
        <f>'White label websites (WLW)'!$B$12</f>
        <v>150</v>
      </c>
      <c r="F29" s="374">
        <f>'White label websites (WLW)'!$B$12</f>
        <v>150</v>
      </c>
      <c r="G29" s="374">
        <f>'White label websites (WLW)'!$B$12</f>
        <v>150</v>
      </c>
      <c r="H29" s="374">
        <f>'White label websites (WLW)'!$B$12</f>
        <v>150</v>
      </c>
      <c r="I29" s="374">
        <f>'White label websites (WLW)'!$B$12</f>
        <v>150</v>
      </c>
      <c r="J29" s="374">
        <f>'White label websites (WLW)'!$B$12</f>
        <v>150</v>
      </c>
      <c r="K29" s="374">
        <f>'White label websites (WLW)'!$B$12</f>
        <v>150</v>
      </c>
      <c r="L29" s="374">
        <f>'White label websites (WLW)'!$B$12</f>
        <v>150</v>
      </c>
      <c r="M29" s="374">
        <f>'White label websites (WLW)'!$B$12</f>
        <v>150</v>
      </c>
      <c r="N29" s="374">
        <f>'White label websites (WLW)'!$B$12</f>
        <v>150</v>
      </c>
      <c r="O29" s="374">
        <f>'White label websites (WLW)'!$B$12</f>
        <v>150</v>
      </c>
      <c r="P29" s="397">
        <f>'White label websites (WLW)'!$B$12</f>
        <v>150</v>
      </c>
      <c r="Q29" s="374">
        <f>'White label websites (WLW)'!$B$12</f>
        <v>150</v>
      </c>
      <c r="R29" s="374">
        <f>'White label websites (WLW)'!$B$12</f>
        <v>150</v>
      </c>
      <c r="S29" s="374">
        <f>'White label websites (WLW)'!$B$12</f>
        <v>150</v>
      </c>
      <c r="T29" s="374">
        <f>'White label websites (WLW)'!$B$12</f>
        <v>150</v>
      </c>
      <c r="U29" s="374">
        <f>'White label websites (WLW)'!$B$12</f>
        <v>150</v>
      </c>
      <c r="V29" s="374">
        <f>'White label websites (WLW)'!$B$12</f>
        <v>150</v>
      </c>
      <c r="W29" s="374">
        <f>'White label websites (WLW)'!$B$12</f>
        <v>150</v>
      </c>
      <c r="X29" s="374">
        <f>'White label websites (WLW)'!$B$12</f>
        <v>150</v>
      </c>
      <c r="Y29" s="374">
        <f>'White label websites (WLW)'!$B$12</f>
        <v>150</v>
      </c>
      <c r="Z29" s="374">
        <f>'White label websites (WLW)'!$B$12</f>
        <v>150</v>
      </c>
      <c r="AA29" s="374">
        <f>'White label websites (WLW)'!$B$12</f>
        <v>150</v>
      </c>
      <c r="AB29" s="374">
        <f>'White label websites (WLW)'!$B$12</f>
        <v>150</v>
      </c>
      <c r="AC29" s="396">
        <f>'White label websites (WLW)'!$B$12</f>
        <v>150</v>
      </c>
      <c r="AD29" s="374">
        <f>'White label websites (WLW)'!$B$12</f>
        <v>150</v>
      </c>
      <c r="AE29" s="374">
        <f>'White label websites (WLW)'!$B$12</f>
        <v>150</v>
      </c>
      <c r="AF29" s="374">
        <f>'White label websites (WLW)'!$B$12</f>
        <v>150</v>
      </c>
      <c r="AG29" s="374">
        <f>'White label websites (WLW)'!$B$12</f>
        <v>150</v>
      </c>
      <c r="AH29" s="374">
        <f>'White label websites (WLW)'!$B$12</f>
        <v>150</v>
      </c>
      <c r="AI29" s="374">
        <f>'White label websites (WLW)'!$B$12</f>
        <v>150</v>
      </c>
      <c r="AJ29" s="374">
        <f>'White label websites (WLW)'!$B$12</f>
        <v>150</v>
      </c>
      <c r="AK29" s="374">
        <f>'White label websites (WLW)'!$B$12</f>
        <v>150</v>
      </c>
      <c r="AL29" s="374">
        <f>'White label websites (WLW)'!$B$12</f>
        <v>150</v>
      </c>
      <c r="AM29" s="374">
        <f>'White label websites (WLW)'!$B$12</f>
        <v>150</v>
      </c>
      <c r="AN29" s="397">
        <f>'White label websites (WLW)'!$B$12</f>
        <v>150</v>
      </c>
      <c r="AO29" s="374">
        <f>'White label websites (WLW)'!$B$12</f>
        <v>150</v>
      </c>
      <c r="AP29" s="374">
        <f>'White label websites (WLW)'!$B$12</f>
        <v>150</v>
      </c>
      <c r="AQ29" s="374">
        <f>'White label websites (WLW)'!$B$12</f>
        <v>150</v>
      </c>
      <c r="AR29" s="374">
        <f>'White label websites (WLW)'!$B$12</f>
        <v>150</v>
      </c>
      <c r="AS29" s="374">
        <f>'White label websites (WLW)'!$B$12</f>
        <v>150</v>
      </c>
      <c r="AT29" s="374">
        <f>'White label websites (WLW)'!$B$12</f>
        <v>150</v>
      </c>
      <c r="AU29" s="374">
        <f>'White label websites (WLW)'!$B$12</f>
        <v>150</v>
      </c>
      <c r="AV29" s="374">
        <f>'White label websites (WLW)'!$B$12</f>
        <v>150</v>
      </c>
      <c r="AW29" s="374">
        <f>'White label websites (WLW)'!$B$12</f>
        <v>150</v>
      </c>
      <c r="AX29" s="374">
        <f>'White label websites (WLW)'!$B$12</f>
        <v>150</v>
      </c>
      <c r="AY29" s="374">
        <f>'White label websites (WLW)'!$B$12</f>
        <v>150</v>
      </c>
      <c r="AZ29" s="374">
        <f>'White label websites (WLW)'!$B$12</f>
        <v>150</v>
      </c>
      <c r="BA29" s="396">
        <f>'White label websites (WLW)'!$B$12</f>
        <v>150</v>
      </c>
      <c r="BB29" s="374">
        <f>'White label websites (WLW)'!$B$12</f>
        <v>150</v>
      </c>
      <c r="BC29" s="374">
        <f>'White label websites (WLW)'!$B$12</f>
        <v>150</v>
      </c>
      <c r="BD29" s="374">
        <f>'White label websites (WLW)'!$B$12</f>
        <v>150</v>
      </c>
      <c r="BE29" s="374">
        <f>'White label websites (WLW)'!$B$12</f>
        <v>150</v>
      </c>
      <c r="BF29" s="374">
        <f>'White label websites (WLW)'!$B$12</f>
        <v>150</v>
      </c>
      <c r="BG29" s="374">
        <f>'White label websites (WLW)'!$B$12</f>
        <v>150</v>
      </c>
      <c r="BH29" s="374">
        <f>'White label websites (WLW)'!$B$12</f>
        <v>150</v>
      </c>
      <c r="BI29" s="374">
        <f>'White label websites (WLW)'!$B$12</f>
        <v>150</v>
      </c>
      <c r="BJ29" s="374">
        <f>'White label websites (WLW)'!$B$12</f>
        <v>150</v>
      </c>
      <c r="BK29" s="374">
        <f>'White label websites (WLW)'!$B$12</f>
        <v>150</v>
      </c>
      <c r="BL29" s="397">
        <f>'White label websites (WLW)'!$B$12</f>
        <v>150</v>
      </c>
    </row>
    <row r="30" spans="1:64" ht="17" x14ac:dyDescent="0.25">
      <c r="A30" s="605"/>
      <c r="B30" s="607"/>
      <c r="C30" s="373" t="s">
        <v>498</v>
      </c>
      <c r="D30" s="402" t="s">
        <v>511</v>
      </c>
      <c r="E30" s="388">
        <v>300</v>
      </c>
      <c r="F30" s="344">
        <v>300</v>
      </c>
      <c r="G30" s="344"/>
      <c r="H30" s="344"/>
      <c r="I30" s="344"/>
      <c r="J30" s="344"/>
      <c r="K30" s="344"/>
      <c r="L30" s="344"/>
      <c r="M30" s="344"/>
      <c r="N30" s="344"/>
      <c r="O30" s="344"/>
      <c r="P30" s="345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88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5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44"/>
      <c r="BA30" s="388"/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5"/>
    </row>
    <row r="31" spans="1:64" x14ac:dyDescent="0.25">
      <c r="A31" s="605"/>
      <c r="B31" s="607"/>
      <c r="C31" s="370" t="s">
        <v>507</v>
      </c>
      <c r="D31" s="403" t="s">
        <v>499</v>
      </c>
      <c r="E31" s="382">
        <f>(E30-E29)/E29</f>
        <v>1</v>
      </c>
      <c r="F31" s="371">
        <f t="shared" ref="F31" si="189">(F30-F29)/F29</f>
        <v>1</v>
      </c>
      <c r="G31" s="371">
        <f t="shared" ref="G31" si="190">(G30-G29)/G29</f>
        <v>-1</v>
      </c>
      <c r="H31" s="371">
        <f t="shared" ref="H31" si="191">(H30-H29)/H29</f>
        <v>-1</v>
      </c>
      <c r="I31" s="371">
        <f t="shared" ref="I31" si="192">(I30-I29)/I29</f>
        <v>-1</v>
      </c>
      <c r="J31" s="371">
        <f t="shared" ref="J31" si="193">(J30-J29)/J29</f>
        <v>-1</v>
      </c>
      <c r="K31" s="371">
        <f t="shared" ref="K31" si="194">(K30-K29)/K29</f>
        <v>-1</v>
      </c>
      <c r="L31" s="371">
        <f t="shared" ref="L31" si="195">(L30-L29)/L29</f>
        <v>-1</v>
      </c>
      <c r="M31" s="371">
        <f t="shared" ref="M31" si="196">(M30-M29)/M29</f>
        <v>-1</v>
      </c>
      <c r="N31" s="371">
        <f t="shared" ref="N31" si="197">(N30-N29)/N29</f>
        <v>-1</v>
      </c>
      <c r="O31" s="371">
        <f t="shared" ref="O31" si="198">(O30-O29)/O29</f>
        <v>-1</v>
      </c>
      <c r="P31" s="383">
        <f t="shared" ref="P31" si="199">(P30-P29)/P29</f>
        <v>-1</v>
      </c>
      <c r="Q31" s="371">
        <f t="shared" ref="Q31" si="200">(Q30-Q29)/Q29</f>
        <v>-1</v>
      </c>
      <c r="R31" s="371">
        <f t="shared" ref="R31" si="201">(R30-R29)/R29</f>
        <v>-1</v>
      </c>
      <c r="S31" s="371">
        <f t="shared" ref="S31" si="202">(S30-S29)/S29</f>
        <v>-1</v>
      </c>
      <c r="T31" s="371">
        <f t="shared" ref="T31" si="203">(T30-T29)/T29</f>
        <v>-1</v>
      </c>
      <c r="U31" s="371">
        <f t="shared" ref="U31" si="204">(U30-U29)/U29</f>
        <v>-1</v>
      </c>
      <c r="V31" s="371">
        <f t="shared" ref="V31" si="205">(V30-V29)/V29</f>
        <v>-1</v>
      </c>
      <c r="W31" s="371">
        <f t="shared" ref="W31" si="206">(W30-W29)/W29</f>
        <v>-1</v>
      </c>
      <c r="X31" s="371">
        <f t="shared" ref="X31" si="207">(X30-X29)/X29</f>
        <v>-1</v>
      </c>
      <c r="Y31" s="371">
        <f t="shared" ref="Y31" si="208">(Y30-Y29)/Y29</f>
        <v>-1</v>
      </c>
      <c r="Z31" s="371">
        <f t="shared" ref="Z31" si="209">(Z30-Z29)/Z29</f>
        <v>-1</v>
      </c>
      <c r="AA31" s="371">
        <f t="shared" ref="AA31" si="210">(AA30-AA29)/AA29</f>
        <v>-1</v>
      </c>
      <c r="AB31" s="371">
        <f t="shared" ref="AB31" si="211">(AB30-AB29)/AB29</f>
        <v>-1</v>
      </c>
      <c r="AC31" s="382">
        <f t="shared" ref="AC31" si="212">(AC30-AC29)/AC29</f>
        <v>-1</v>
      </c>
      <c r="AD31" s="371">
        <f t="shared" ref="AD31" si="213">(AD30-AD29)/AD29</f>
        <v>-1</v>
      </c>
      <c r="AE31" s="371">
        <f t="shared" ref="AE31" si="214">(AE30-AE29)/AE29</f>
        <v>-1</v>
      </c>
      <c r="AF31" s="371">
        <f t="shared" ref="AF31" si="215">(AF30-AF29)/AF29</f>
        <v>-1</v>
      </c>
      <c r="AG31" s="371">
        <f t="shared" ref="AG31" si="216">(AG30-AG29)/AG29</f>
        <v>-1</v>
      </c>
      <c r="AH31" s="371">
        <f t="shared" ref="AH31" si="217">(AH30-AH29)/AH29</f>
        <v>-1</v>
      </c>
      <c r="AI31" s="371">
        <f t="shared" ref="AI31" si="218">(AI30-AI29)/AI29</f>
        <v>-1</v>
      </c>
      <c r="AJ31" s="371">
        <f t="shared" ref="AJ31" si="219">(AJ30-AJ29)/AJ29</f>
        <v>-1</v>
      </c>
      <c r="AK31" s="371">
        <f t="shared" ref="AK31" si="220">(AK30-AK29)/AK29</f>
        <v>-1</v>
      </c>
      <c r="AL31" s="371">
        <f t="shared" ref="AL31" si="221">(AL30-AL29)/AL29</f>
        <v>-1</v>
      </c>
      <c r="AM31" s="371">
        <f t="shared" ref="AM31" si="222">(AM30-AM29)/AM29</f>
        <v>-1</v>
      </c>
      <c r="AN31" s="383">
        <f t="shared" ref="AN31" si="223">(AN30-AN29)/AN29</f>
        <v>-1</v>
      </c>
      <c r="AO31" s="371">
        <f t="shared" ref="AO31" si="224">(AO30-AO29)/AO29</f>
        <v>-1</v>
      </c>
      <c r="AP31" s="371">
        <f t="shared" ref="AP31" si="225">(AP30-AP29)/AP29</f>
        <v>-1</v>
      </c>
      <c r="AQ31" s="371">
        <f t="shared" ref="AQ31" si="226">(AQ30-AQ29)/AQ29</f>
        <v>-1</v>
      </c>
      <c r="AR31" s="371">
        <f t="shared" ref="AR31" si="227">(AR30-AR29)/AR29</f>
        <v>-1</v>
      </c>
      <c r="AS31" s="371">
        <f t="shared" ref="AS31" si="228">(AS30-AS29)/AS29</f>
        <v>-1</v>
      </c>
      <c r="AT31" s="371">
        <f t="shared" ref="AT31" si="229">(AT30-AT29)/AT29</f>
        <v>-1</v>
      </c>
      <c r="AU31" s="371">
        <f t="shared" ref="AU31" si="230">(AU30-AU29)/AU29</f>
        <v>-1</v>
      </c>
      <c r="AV31" s="371">
        <f t="shared" ref="AV31" si="231">(AV30-AV29)/AV29</f>
        <v>-1</v>
      </c>
      <c r="AW31" s="371">
        <f t="shared" ref="AW31" si="232">(AW30-AW29)/AW29</f>
        <v>-1</v>
      </c>
      <c r="AX31" s="371">
        <f t="shared" ref="AX31" si="233">(AX30-AX29)/AX29</f>
        <v>-1</v>
      </c>
      <c r="AY31" s="371">
        <f t="shared" ref="AY31" si="234">(AY30-AY29)/AY29</f>
        <v>-1</v>
      </c>
      <c r="AZ31" s="371">
        <f t="shared" ref="AZ31" si="235">(AZ30-AZ29)/AZ29</f>
        <v>-1</v>
      </c>
      <c r="BA31" s="382">
        <f t="shared" ref="BA31" si="236">(BA30-BA29)/BA29</f>
        <v>-1</v>
      </c>
      <c r="BB31" s="371">
        <f t="shared" ref="BB31" si="237">(BB30-BB29)/BB29</f>
        <v>-1</v>
      </c>
      <c r="BC31" s="371">
        <f t="shared" ref="BC31" si="238">(BC30-BC29)/BC29</f>
        <v>-1</v>
      </c>
      <c r="BD31" s="371">
        <f t="shared" ref="BD31" si="239">(BD30-BD29)/BD29</f>
        <v>-1</v>
      </c>
      <c r="BE31" s="371">
        <f t="shared" ref="BE31" si="240">(BE30-BE29)/BE29</f>
        <v>-1</v>
      </c>
      <c r="BF31" s="371">
        <f t="shared" ref="BF31" si="241">(BF30-BF29)/BF29</f>
        <v>-1</v>
      </c>
      <c r="BG31" s="371">
        <f t="shared" ref="BG31" si="242">(BG30-BG29)/BG29</f>
        <v>-1</v>
      </c>
      <c r="BH31" s="371">
        <f t="shared" ref="BH31" si="243">(BH30-BH29)/BH29</f>
        <v>-1</v>
      </c>
      <c r="BI31" s="371">
        <f t="shared" ref="BI31" si="244">(BI30-BI29)/BI29</f>
        <v>-1</v>
      </c>
      <c r="BJ31" s="371">
        <f t="shared" ref="BJ31" si="245">(BJ30-BJ29)/BJ29</f>
        <v>-1</v>
      </c>
      <c r="BK31" s="371">
        <f t="shared" ref="BK31" si="246">(BK30-BK29)/BK29</f>
        <v>-1</v>
      </c>
      <c r="BL31" s="383">
        <f t="shared" ref="BL31" si="247">(BL30-BL29)/BL29</f>
        <v>-1</v>
      </c>
    </row>
    <row r="32" spans="1:64" ht="16" customHeight="1" x14ac:dyDescent="0.25">
      <c r="A32" s="605"/>
      <c r="B32" s="607"/>
      <c r="C32" s="343" t="s">
        <v>497</v>
      </c>
      <c r="D32" s="402" t="s">
        <v>512</v>
      </c>
      <c r="E32" s="398">
        <f>'White label websites (WLW)'!$B$13</f>
        <v>30</v>
      </c>
      <c r="F32" s="357">
        <f>'White label websites (WLW)'!$B$13</f>
        <v>30</v>
      </c>
      <c r="G32" s="357">
        <f>'White label websites (WLW)'!$B$13</f>
        <v>30</v>
      </c>
      <c r="H32" s="357">
        <f>'White label websites (WLW)'!$B$13</f>
        <v>30</v>
      </c>
      <c r="I32" s="357">
        <f>'White label websites (WLW)'!$B$13</f>
        <v>30</v>
      </c>
      <c r="J32" s="357">
        <f>'White label websites (WLW)'!$B$13</f>
        <v>30</v>
      </c>
      <c r="K32" s="357">
        <f>'White label websites (WLW)'!$B$13</f>
        <v>30</v>
      </c>
      <c r="L32" s="357">
        <f>'White label websites (WLW)'!$B$13</f>
        <v>30</v>
      </c>
      <c r="M32" s="357">
        <f>'White label websites (WLW)'!$B$13</f>
        <v>30</v>
      </c>
      <c r="N32" s="357">
        <f>'White label websites (WLW)'!$B$13</f>
        <v>30</v>
      </c>
      <c r="O32" s="357">
        <f>'White label websites (WLW)'!$B$13</f>
        <v>30</v>
      </c>
      <c r="P32" s="358">
        <f>'White label websites (WLW)'!$B$13</f>
        <v>30</v>
      </c>
      <c r="Q32" s="357">
        <f>'White label websites (WLW)'!$B$13</f>
        <v>30</v>
      </c>
      <c r="R32" s="357">
        <f>'White label websites (WLW)'!$B$13</f>
        <v>30</v>
      </c>
      <c r="S32" s="357">
        <f>'White label websites (WLW)'!$B$13</f>
        <v>30</v>
      </c>
      <c r="T32" s="357">
        <f>'White label websites (WLW)'!$B$13</f>
        <v>30</v>
      </c>
      <c r="U32" s="357">
        <f>'White label websites (WLW)'!$B$13</f>
        <v>30</v>
      </c>
      <c r="V32" s="357">
        <f>'White label websites (WLW)'!$B$13</f>
        <v>30</v>
      </c>
      <c r="W32" s="357">
        <f>'White label websites (WLW)'!$B$13</f>
        <v>30</v>
      </c>
      <c r="X32" s="357">
        <f>'White label websites (WLW)'!$B$13</f>
        <v>30</v>
      </c>
      <c r="Y32" s="357">
        <f>'White label websites (WLW)'!$B$13</f>
        <v>30</v>
      </c>
      <c r="Z32" s="357">
        <f>'White label websites (WLW)'!$B$13</f>
        <v>30</v>
      </c>
      <c r="AA32" s="357">
        <f>'White label websites (WLW)'!$B$13</f>
        <v>30</v>
      </c>
      <c r="AB32" s="357">
        <f>'White label websites (WLW)'!$B$13</f>
        <v>30</v>
      </c>
      <c r="AC32" s="398">
        <f>'White label websites (WLW)'!$B$13</f>
        <v>30</v>
      </c>
      <c r="AD32" s="357">
        <f>'White label websites (WLW)'!$B$13</f>
        <v>30</v>
      </c>
      <c r="AE32" s="357">
        <f>'White label websites (WLW)'!$B$13</f>
        <v>30</v>
      </c>
      <c r="AF32" s="357">
        <f>'White label websites (WLW)'!$B$13</f>
        <v>30</v>
      </c>
      <c r="AG32" s="357">
        <f>'White label websites (WLW)'!$B$13</f>
        <v>30</v>
      </c>
      <c r="AH32" s="357">
        <f>'White label websites (WLW)'!$B$13</f>
        <v>30</v>
      </c>
      <c r="AI32" s="357">
        <f>'White label websites (WLW)'!$B$13</f>
        <v>30</v>
      </c>
      <c r="AJ32" s="357">
        <f>'White label websites (WLW)'!$B$13</f>
        <v>30</v>
      </c>
      <c r="AK32" s="357">
        <f>'White label websites (WLW)'!$B$13</f>
        <v>30</v>
      </c>
      <c r="AL32" s="357">
        <f>'White label websites (WLW)'!$B$13</f>
        <v>30</v>
      </c>
      <c r="AM32" s="357">
        <f>'White label websites (WLW)'!$B$13</f>
        <v>30</v>
      </c>
      <c r="AN32" s="358">
        <f>'White label websites (WLW)'!$B$13</f>
        <v>30</v>
      </c>
      <c r="AO32" s="357">
        <f>'White label websites (WLW)'!$B$13</f>
        <v>30</v>
      </c>
      <c r="AP32" s="357">
        <f>'White label websites (WLW)'!$B$13</f>
        <v>30</v>
      </c>
      <c r="AQ32" s="357">
        <f>'White label websites (WLW)'!$B$13</f>
        <v>30</v>
      </c>
      <c r="AR32" s="357">
        <f>'White label websites (WLW)'!$B$13</f>
        <v>30</v>
      </c>
      <c r="AS32" s="357">
        <f>'White label websites (WLW)'!$B$13</f>
        <v>30</v>
      </c>
      <c r="AT32" s="357">
        <f>'White label websites (WLW)'!$B$13</f>
        <v>30</v>
      </c>
      <c r="AU32" s="357">
        <f>'White label websites (WLW)'!$B$13</f>
        <v>30</v>
      </c>
      <c r="AV32" s="357">
        <f>'White label websites (WLW)'!$B$13</f>
        <v>30</v>
      </c>
      <c r="AW32" s="357">
        <f>'White label websites (WLW)'!$B$13</f>
        <v>30</v>
      </c>
      <c r="AX32" s="357">
        <f>'White label websites (WLW)'!$B$13</f>
        <v>30</v>
      </c>
      <c r="AY32" s="357">
        <f>'White label websites (WLW)'!$B$13</f>
        <v>30</v>
      </c>
      <c r="AZ32" s="357">
        <f>'White label websites (WLW)'!$B$13</f>
        <v>30</v>
      </c>
      <c r="BA32" s="398">
        <f>'White label websites (WLW)'!$B$13</f>
        <v>30</v>
      </c>
      <c r="BB32" s="357">
        <f>'White label websites (WLW)'!$B$13</f>
        <v>30</v>
      </c>
      <c r="BC32" s="357">
        <f>'White label websites (WLW)'!$B$13</f>
        <v>30</v>
      </c>
      <c r="BD32" s="357">
        <f>'White label websites (WLW)'!$B$13</f>
        <v>30</v>
      </c>
      <c r="BE32" s="357">
        <f>'White label websites (WLW)'!$B$13</f>
        <v>30</v>
      </c>
      <c r="BF32" s="357">
        <f>'White label websites (WLW)'!$B$13</f>
        <v>30</v>
      </c>
      <c r="BG32" s="357">
        <f>'White label websites (WLW)'!$B$13</f>
        <v>30</v>
      </c>
      <c r="BH32" s="357">
        <f>'White label websites (WLW)'!$B$13</f>
        <v>30</v>
      </c>
      <c r="BI32" s="357">
        <f>'White label websites (WLW)'!$B$13</f>
        <v>30</v>
      </c>
      <c r="BJ32" s="357">
        <f>'White label websites (WLW)'!$B$13</f>
        <v>30</v>
      </c>
      <c r="BK32" s="357">
        <f>'White label websites (WLW)'!$B$13</f>
        <v>30</v>
      </c>
      <c r="BL32" s="358">
        <f>'White label websites (WLW)'!$B$13</f>
        <v>30</v>
      </c>
    </row>
    <row r="33" spans="1:64" ht="17" x14ac:dyDescent="0.25">
      <c r="A33" s="605"/>
      <c r="B33" s="607"/>
      <c r="C33" s="343" t="s">
        <v>498</v>
      </c>
      <c r="D33" s="402" t="s">
        <v>512</v>
      </c>
      <c r="E33" s="388">
        <v>100</v>
      </c>
      <c r="F33" s="344">
        <v>0</v>
      </c>
      <c r="G33" s="344"/>
      <c r="H33" s="344"/>
      <c r="I33" s="344"/>
      <c r="J33" s="344"/>
      <c r="K33" s="344"/>
      <c r="L33" s="344"/>
      <c r="M33" s="344"/>
      <c r="N33" s="344"/>
      <c r="O33" s="344"/>
      <c r="P33" s="345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88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5"/>
      <c r="AO33" s="344"/>
      <c r="AP33" s="344"/>
      <c r="AQ33" s="344"/>
      <c r="AR33" s="344"/>
      <c r="AS33" s="344"/>
      <c r="AT33" s="344"/>
      <c r="AU33" s="344"/>
      <c r="AV33" s="344"/>
      <c r="AW33" s="344"/>
      <c r="AX33" s="344"/>
      <c r="AY33" s="344"/>
      <c r="AZ33" s="344"/>
      <c r="BA33" s="388"/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5"/>
    </row>
    <row r="34" spans="1:64" x14ac:dyDescent="0.25">
      <c r="A34" s="605"/>
      <c r="B34" s="607"/>
      <c r="C34" s="325" t="s">
        <v>507</v>
      </c>
      <c r="D34" s="402" t="s">
        <v>499</v>
      </c>
      <c r="E34" s="385">
        <f>(E33-E32)/E32</f>
        <v>2.3333333333333335</v>
      </c>
      <c r="F34" s="326">
        <f t="shared" ref="F34" si="248">(F33-F32)/F32</f>
        <v>-1</v>
      </c>
      <c r="G34" s="326">
        <f t="shared" ref="G34" si="249">(G33-G32)/G32</f>
        <v>-1</v>
      </c>
      <c r="H34" s="326">
        <f t="shared" ref="H34" si="250">(H33-H32)/H32</f>
        <v>-1</v>
      </c>
      <c r="I34" s="326">
        <f t="shared" ref="I34" si="251">(I33-I32)/I32</f>
        <v>-1</v>
      </c>
      <c r="J34" s="326">
        <f t="shared" ref="J34" si="252">(J33-J32)/J32</f>
        <v>-1</v>
      </c>
      <c r="K34" s="326">
        <f t="shared" ref="K34" si="253">(K33-K32)/K32</f>
        <v>-1</v>
      </c>
      <c r="L34" s="326">
        <f t="shared" ref="L34" si="254">(L33-L32)/L32</f>
        <v>-1</v>
      </c>
      <c r="M34" s="326">
        <f t="shared" ref="M34" si="255">(M33-M32)/M32</f>
        <v>-1</v>
      </c>
      <c r="N34" s="326">
        <f t="shared" ref="N34" si="256">(N33-N32)/N32</f>
        <v>-1</v>
      </c>
      <c r="O34" s="326">
        <f t="shared" ref="O34" si="257">(O33-O32)/O32</f>
        <v>-1</v>
      </c>
      <c r="P34" s="333">
        <f t="shared" ref="P34" si="258">(P33-P32)/P32</f>
        <v>-1</v>
      </c>
      <c r="Q34" s="326">
        <f t="shared" ref="Q34" si="259">(Q33-Q32)/Q32</f>
        <v>-1</v>
      </c>
      <c r="R34" s="326">
        <f t="shared" ref="R34" si="260">(R33-R32)/R32</f>
        <v>-1</v>
      </c>
      <c r="S34" s="326">
        <f t="shared" ref="S34" si="261">(S33-S32)/S32</f>
        <v>-1</v>
      </c>
      <c r="T34" s="326">
        <f t="shared" ref="T34" si="262">(T33-T32)/T32</f>
        <v>-1</v>
      </c>
      <c r="U34" s="326">
        <f t="shared" ref="U34" si="263">(U33-U32)/U32</f>
        <v>-1</v>
      </c>
      <c r="V34" s="326">
        <f t="shared" ref="V34" si="264">(V33-V32)/V32</f>
        <v>-1</v>
      </c>
      <c r="W34" s="326">
        <f t="shared" ref="W34" si="265">(W33-W32)/W32</f>
        <v>-1</v>
      </c>
      <c r="X34" s="326">
        <f t="shared" ref="X34" si="266">(X33-X32)/X32</f>
        <v>-1</v>
      </c>
      <c r="Y34" s="326">
        <f t="shared" ref="Y34" si="267">(Y33-Y32)/Y32</f>
        <v>-1</v>
      </c>
      <c r="Z34" s="326">
        <f t="shared" ref="Z34" si="268">(Z33-Z32)/Z32</f>
        <v>-1</v>
      </c>
      <c r="AA34" s="326">
        <f t="shared" ref="AA34" si="269">(AA33-AA32)/AA32</f>
        <v>-1</v>
      </c>
      <c r="AB34" s="326">
        <f t="shared" ref="AB34" si="270">(AB33-AB32)/AB32</f>
        <v>-1</v>
      </c>
      <c r="AC34" s="385">
        <f t="shared" ref="AC34" si="271">(AC33-AC32)/AC32</f>
        <v>-1</v>
      </c>
      <c r="AD34" s="326">
        <f t="shared" ref="AD34" si="272">(AD33-AD32)/AD32</f>
        <v>-1</v>
      </c>
      <c r="AE34" s="326">
        <f t="shared" ref="AE34" si="273">(AE33-AE32)/AE32</f>
        <v>-1</v>
      </c>
      <c r="AF34" s="326">
        <f t="shared" ref="AF34" si="274">(AF33-AF32)/AF32</f>
        <v>-1</v>
      </c>
      <c r="AG34" s="326">
        <f t="shared" ref="AG34" si="275">(AG33-AG32)/AG32</f>
        <v>-1</v>
      </c>
      <c r="AH34" s="326">
        <f t="shared" ref="AH34" si="276">(AH33-AH32)/AH32</f>
        <v>-1</v>
      </c>
      <c r="AI34" s="326">
        <f t="shared" ref="AI34" si="277">(AI33-AI32)/AI32</f>
        <v>-1</v>
      </c>
      <c r="AJ34" s="326">
        <f t="shared" ref="AJ34" si="278">(AJ33-AJ32)/AJ32</f>
        <v>-1</v>
      </c>
      <c r="AK34" s="326">
        <f t="shared" ref="AK34" si="279">(AK33-AK32)/AK32</f>
        <v>-1</v>
      </c>
      <c r="AL34" s="326">
        <f t="shared" ref="AL34" si="280">(AL33-AL32)/AL32</f>
        <v>-1</v>
      </c>
      <c r="AM34" s="326">
        <f t="shared" ref="AM34" si="281">(AM33-AM32)/AM32</f>
        <v>-1</v>
      </c>
      <c r="AN34" s="333">
        <f t="shared" ref="AN34" si="282">(AN33-AN32)/AN32</f>
        <v>-1</v>
      </c>
      <c r="AO34" s="326">
        <f t="shared" ref="AO34" si="283">(AO33-AO32)/AO32</f>
        <v>-1</v>
      </c>
      <c r="AP34" s="326">
        <f t="shared" ref="AP34" si="284">(AP33-AP32)/AP32</f>
        <v>-1</v>
      </c>
      <c r="AQ34" s="326">
        <f t="shared" ref="AQ34" si="285">(AQ33-AQ32)/AQ32</f>
        <v>-1</v>
      </c>
      <c r="AR34" s="326">
        <f t="shared" ref="AR34" si="286">(AR33-AR32)/AR32</f>
        <v>-1</v>
      </c>
      <c r="AS34" s="326">
        <f t="shared" ref="AS34" si="287">(AS33-AS32)/AS32</f>
        <v>-1</v>
      </c>
      <c r="AT34" s="326">
        <f t="shared" ref="AT34" si="288">(AT33-AT32)/AT32</f>
        <v>-1</v>
      </c>
      <c r="AU34" s="326">
        <f t="shared" ref="AU34" si="289">(AU33-AU32)/AU32</f>
        <v>-1</v>
      </c>
      <c r="AV34" s="326">
        <f t="shared" ref="AV34" si="290">(AV33-AV32)/AV32</f>
        <v>-1</v>
      </c>
      <c r="AW34" s="326">
        <f t="shared" ref="AW34" si="291">(AW33-AW32)/AW32</f>
        <v>-1</v>
      </c>
      <c r="AX34" s="326">
        <f t="shared" ref="AX34" si="292">(AX33-AX32)/AX32</f>
        <v>-1</v>
      </c>
      <c r="AY34" s="326">
        <f t="shared" ref="AY34" si="293">(AY33-AY32)/AY32</f>
        <v>-1</v>
      </c>
      <c r="AZ34" s="326">
        <f t="shared" ref="AZ34" si="294">(AZ33-AZ32)/AZ32</f>
        <v>-1</v>
      </c>
      <c r="BA34" s="385">
        <f t="shared" ref="BA34" si="295">(BA33-BA32)/BA32</f>
        <v>-1</v>
      </c>
      <c r="BB34" s="326">
        <f t="shared" ref="BB34" si="296">(BB33-BB32)/BB32</f>
        <v>-1</v>
      </c>
      <c r="BC34" s="326">
        <f t="shared" ref="BC34" si="297">(BC33-BC32)/BC32</f>
        <v>-1</v>
      </c>
      <c r="BD34" s="326">
        <f t="shared" ref="BD34" si="298">(BD33-BD32)/BD32</f>
        <v>-1</v>
      </c>
      <c r="BE34" s="326">
        <f t="shared" ref="BE34" si="299">(BE33-BE32)/BE32</f>
        <v>-1</v>
      </c>
      <c r="BF34" s="326">
        <f t="shared" ref="BF34" si="300">(BF33-BF32)/BF32</f>
        <v>-1</v>
      </c>
      <c r="BG34" s="326">
        <f t="shared" ref="BG34" si="301">(BG33-BG32)/BG32</f>
        <v>-1</v>
      </c>
      <c r="BH34" s="326">
        <f t="shared" ref="BH34" si="302">(BH33-BH32)/BH32</f>
        <v>-1</v>
      </c>
      <c r="BI34" s="326">
        <f t="shared" ref="BI34" si="303">(BI33-BI32)/BI32</f>
        <v>-1</v>
      </c>
      <c r="BJ34" s="326">
        <f t="shared" ref="BJ34" si="304">(BJ33-BJ32)/BJ32</f>
        <v>-1</v>
      </c>
      <c r="BK34" s="326">
        <f t="shared" ref="BK34" si="305">(BK33-BK32)/BK32</f>
        <v>-1</v>
      </c>
      <c r="BL34" s="333">
        <f t="shared" ref="BL34" si="306">(BL33-BL32)/BL32</f>
        <v>-1</v>
      </c>
    </row>
    <row r="35" spans="1:64" ht="16" customHeight="1" x14ac:dyDescent="0.25">
      <c r="A35" s="605"/>
      <c r="B35" s="607"/>
      <c r="C35" s="372" t="s">
        <v>497</v>
      </c>
      <c r="D35" s="401" t="s">
        <v>513</v>
      </c>
      <c r="E35" s="396">
        <f>'White label websites (WLW)'!$H$12</f>
        <v>100</v>
      </c>
      <c r="F35" s="374">
        <f>'White label websites (WLW)'!$H$12</f>
        <v>100</v>
      </c>
      <c r="G35" s="374">
        <f>'White label websites (WLW)'!$H$12</f>
        <v>100</v>
      </c>
      <c r="H35" s="374">
        <f>'White label websites (WLW)'!$H$12</f>
        <v>100</v>
      </c>
      <c r="I35" s="374">
        <f>'White label websites (WLW)'!$H$12</f>
        <v>100</v>
      </c>
      <c r="J35" s="374">
        <f>'White label websites (WLW)'!$H$12</f>
        <v>100</v>
      </c>
      <c r="K35" s="374">
        <f>'White label websites (WLW)'!$H$12</f>
        <v>100</v>
      </c>
      <c r="L35" s="374">
        <f>'White label websites (WLW)'!$H$12</f>
        <v>100</v>
      </c>
      <c r="M35" s="374">
        <f>'White label websites (WLW)'!$H$12</f>
        <v>100</v>
      </c>
      <c r="N35" s="374">
        <f>'White label websites (WLW)'!$H$12</f>
        <v>100</v>
      </c>
      <c r="O35" s="374">
        <f>'White label websites (WLW)'!$H$12</f>
        <v>100</v>
      </c>
      <c r="P35" s="397">
        <f>'White label websites (WLW)'!$H$12</f>
        <v>100</v>
      </c>
      <c r="Q35" s="374">
        <f>'White label websites (WLW)'!$H$12</f>
        <v>100</v>
      </c>
      <c r="R35" s="374">
        <f>'White label websites (WLW)'!$H$12</f>
        <v>100</v>
      </c>
      <c r="S35" s="374">
        <f>'White label websites (WLW)'!$H$12</f>
        <v>100</v>
      </c>
      <c r="T35" s="374">
        <f>'White label websites (WLW)'!$H$12</f>
        <v>100</v>
      </c>
      <c r="U35" s="374">
        <f>'White label websites (WLW)'!$H$12</f>
        <v>100</v>
      </c>
      <c r="V35" s="374">
        <f>'White label websites (WLW)'!$H$12</f>
        <v>100</v>
      </c>
      <c r="W35" s="374">
        <f>'White label websites (WLW)'!$H$12</f>
        <v>100</v>
      </c>
      <c r="X35" s="374">
        <f>'White label websites (WLW)'!$H$12</f>
        <v>100</v>
      </c>
      <c r="Y35" s="374">
        <f>'White label websites (WLW)'!$H$12</f>
        <v>100</v>
      </c>
      <c r="Z35" s="374">
        <f>'White label websites (WLW)'!$H$12</f>
        <v>100</v>
      </c>
      <c r="AA35" s="374">
        <f>'White label websites (WLW)'!$H$12</f>
        <v>100</v>
      </c>
      <c r="AB35" s="374">
        <f>'White label websites (WLW)'!$H$12</f>
        <v>100</v>
      </c>
      <c r="AC35" s="396">
        <f>'White label websites (WLW)'!$H$12</f>
        <v>100</v>
      </c>
      <c r="AD35" s="374">
        <f>'White label websites (WLW)'!$H$12</f>
        <v>100</v>
      </c>
      <c r="AE35" s="374">
        <f>'White label websites (WLW)'!$H$12</f>
        <v>100</v>
      </c>
      <c r="AF35" s="374">
        <f>'White label websites (WLW)'!$H$12</f>
        <v>100</v>
      </c>
      <c r="AG35" s="374">
        <f>'White label websites (WLW)'!$H$12</f>
        <v>100</v>
      </c>
      <c r="AH35" s="374">
        <f>'White label websites (WLW)'!$H$12</f>
        <v>100</v>
      </c>
      <c r="AI35" s="374">
        <f>'White label websites (WLW)'!$H$12</f>
        <v>100</v>
      </c>
      <c r="AJ35" s="374">
        <f>'White label websites (WLW)'!$H$12</f>
        <v>100</v>
      </c>
      <c r="AK35" s="374">
        <f>'White label websites (WLW)'!$H$12</f>
        <v>100</v>
      </c>
      <c r="AL35" s="374">
        <f>'White label websites (WLW)'!$H$12</f>
        <v>100</v>
      </c>
      <c r="AM35" s="374">
        <f>'White label websites (WLW)'!$H$12</f>
        <v>100</v>
      </c>
      <c r="AN35" s="397">
        <f>'White label websites (WLW)'!$H$12</f>
        <v>100</v>
      </c>
      <c r="AO35" s="374">
        <f>'White label websites (WLW)'!$H$12</f>
        <v>100</v>
      </c>
      <c r="AP35" s="374">
        <f>'White label websites (WLW)'!$H$12</f>
        <v>100</v>
      </c>
      <c r="AQ35" s="374">
        <f>'White label websites (WLW)'!$H$12</f>
        <v>100</v>
      </c>
      <c r="AR35" s="374">
        <f>'White label websites (WLW)'!$H$12</f>
        <v>100</v>
      </c>
      <c r="AS35" s="374">
        <f>'White label websites (WLW)'!$H$12</f>
        <v>100</v>
      </c>
      <c r="AT35" s="374">
        <f>'White label websites (WLW)'!$H$12</f>
        <v>100</v>
      </c>
      <c r="AU35" s="374">
        <f>'White label websites (WLW)'!$H$12</f>
        <v>100</v>
      </c>
      <c r="AV35" s="374">
        <f>'White label websites (WLW)'!$H$12</f>
        <v>100</v>
      </c>
      <c r="AW35" s="374">
        <f>'White label websites (WLW)'!$H$12</f>
        <v>100</v>
      </c>
      <c r="AX35" s="374">
        <f>'White label websites (WLW)'!$H$12</f>
        <v>100</v>
      </c>
      <c r="AY35" s="374">
        <f>'White label websites (WLW)'!$H$12</f>
        <v>100</v>
      </c>
      <c r="AZ35" s="374">
        <f>'White label websites (WLW)'!$H$12</f>
        <v>100</v>
      </c>
      <c r="BA35" s="396">
        <f>'White label websites (WLW)'!$H$12</f>
        <v>100</v>
      </c>
      <c r="BB35" s="374">
        <f>'White label websites (WLW)'!$H$12</f>
        <v>100</v>
      </c>
      <c r="BC35" s="374">
        <f>'White label websites (WLW)'!$H$12</f>
        <v>100</v>
      </c>
      <c r="BD35" s="374">
        <f>'White label websites (WLW)'!$H$12</f>
        <v>100</v>
      </c>
      <c r="BE35" s="374">
        <f>'White label websites (WLW)'!$H$12</f>
        <v>100</v>
      </c>
      <c r="BF35" s="374">
        <f>'White label websites (WLW)'!$H$12</f>
        <v>100</v>
      </c>
      <c r="BG35" s="374">
        <f>'White label websites (WLW)'!$H$12</f>
        <v>100</v>
      </c>
      <c r="BH35" s="374">
        <f>'White label websites (WLW)'!$H$12</f>
        <v>100</v>
      </c>
      <c r="BI35" s="374">
        <f>'White label websites (WLW)'!$H$12</f>
        <v>100</v>
      </c>
      <c r="BJ35" s="374">
        <f>'White label websites (WLW)'!$H$12</f>
        <v>100</v>
      </c>
      <c r="BK35" s="374">
        <f>'White label websites (WLW)'!$H$12</f>
        <v>100</v>
      </c>
      <c r="BL35" s="397">
        <f>'White label websites (WLW)'!$H$12</f>
        <v>100</v>
      </c>
    </row>
    <row r="36" spans="1:64" ht="17" x14ac:dyDescent="0.25">
      <c r="A36" s="605"/>
      <c r="B36" s="607"/>
      <c r="C36" s="373" t="s">
        <v>498</v>
      </c>
      <c r="D36" s="402" t="s">
        <v>513</v>
      </c>
      <c r="E36" s="388">
        <v>0</v>
      </c>
      <c r="F36" s="344">
        <v>0</v>
      </c>
      <c r="G36" s="344"/>
      <c r="H36" s="344"/>
      <c r="I36" s="344"/>
      <c r="J36" s="344"/>
      <c r="K36" s="344"/>
      <c r="L36" s="344"/>
      <c r="M36" s="344"/>
      <c r="N36" s="344"/>
      <c r="O36" s="344"/>
      <c r="P36" s="345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88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5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388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5"/>
    </row>
    <row r="37" spans="1:64" x14ac:dyDescent="0.25">
      <c r="A37" s="605"/>
      <c r="B37" s="607"/>
      <c r="C37" s="370" t="s">
        <v>507</v>
      </c>
      <c r="D37" s="403" t="s">
        <v>499</v>
      </c>
      <c r="E37" s="382">
        <f>(E36-E35)/E35</f>
        <v>-1</v>
      </c>
      <c r="F37" s="371">
        <f t="shared" ref="F37" si="307">(F36-F35)/F35</f>
        <v>-1</v>
      </c>
      <c r="G37" s="371">
        <f t="shared" ref="G37" si="308">(G36-G35)/G35</f>
        <v>-1</v>
      </c>
      <c r="H37" s="371">
        <f t="shared" ref="H37" si="309">(H36-H35)/H35</f>
        <v>-1</v>
      </c>
      <c r="I37" s="371">
        <f t="shared" ref="I37" si="310">(I36-I35)/I35</f>
        <v>-1</v>
      </c>
      <c r="J37" s="371">
        <f t="shared" ref="J37" si="311">(J36-J35)/J35</f>
        <v>-1</v>
      </c>
      <c r="K37" s="371">
        <f t="shared" ref="K37" si="312">(K36-K35)/K35</f>
        <v>-1</v>
      </c>
      <c r="L37" s="371">
        <f t="shared" ref="L37" si="313">(L36-L35)/L35</f>
        <v>-1</v>
      </c>
      <c r="M37" s="371">
        <f t="shared" ref="M37" si="314">(M36-M35)/M35</f>
        <v>-1</v>
      </c>
      <c r="N37" s="371">
        <f t="shared" ref="N37" si="315">(N36-N35)/N35</f>
        <v>-1</v>
      </c>
      <c r="O37" s="371">
        <f t="shared" ref="O37" si="316">(O36-O35)/O35</f>
        <v>-1</v>
      </c>
      <c r="P37" s="383">
        <f t="shared" ref="P37" si="317">(P36-P35)/P35</f>
        <v>-1</v>
      </c>
      <c r="Q37" s="371">
        <f t="shared" ref="Q37" si="318">(Q36-Q35)/Q35</f>
        <v>-1</v>
      </c>
      <c r="R37" s="371">
        <f t="shared" ref="R37" si="319">(R36-R35)/R35</f>
        <v>-1</v>
      </c>
      <c r="S37" s="371">
        <f t="shared" ref="S37" si="320">(S36-S35)/S35</f>
        <v>-1</v>
      </c>
      <c r="T37" s="371">
        <f t="shared" ref="T37" si="321">(T36-T35)/T35</f>
        <v>-1</v>
      </c>
      <c r="U37" s="371">
        <f t="shared" ref="U37" si="322">(U36-U35)/U35</f>
        <v>-1</v>
      </c>
      <c r="V37" s="371">
        <f t="shared" ref="V37" si="323">(V36-V35)/V35</f>
        <v>-1</v>
      </c>
      <c r="W37" s="371">
        <f t="shared" ref="W37" si="324">(W36-W35)/W35</f>
        <v>-1</v>
      </c>
      <c r="X37" s="371">
        <f t="shared" ref="X37" si="325">(X36-X35)/X35</f>
        <v>-1</v>
      </c>
      <c r="Y37" s="371">
        <f t="shared" ref="Y37" si="326">(Y36-Y35)/Y35</f>
        <v>-1</v>
      </c>
      <c r="Z37" s="371">
        <f t="shared" ref="Z37" si="327">(Z36-Z35)/Z35</f>
        <v>-1</v>
      </c>
      <c r="AA37" s="371">
        <f t="shared" ref="AA37" si="328">(AA36-AA35)/AA35</f>
        <v>-1</v>
      </c>
      <c r="AB37" s="371">
        <f t="shared" ref="AB37" si="329">(AB36-AB35)/AB35</f>
        <v>-1</v>
      </c>
      <c r="AC37" s="382">
        <f t="shared" ref="AC37" si="330">(AC36-AC35)/AC35</f>
        <v>-1</v>
      </c>
      <c r="AD37" s="371">
        <f t="shared" ref="AD37" si="331">(AD36-AD35)/AD35</f>
        <v>-1</v>
      </c>
      <c r="AE37" s="371">
        <f t="shared" ref="AE37" si="332">(AE36-AE35)/AE35</f>
        <v>-1</v>
      </c>
      <c r="AF37" s="371">
        <f t="shared" ref="AF37" si="333">(AF36-AF35)/AF35</f>
        <v>-1</v>
      </c>
      <c r="AG37" s="371">
        <f t="shared" ref="AG37" si="334">(AG36-AG35)/AG35</f>
        <v>-1</v>
      </c>
      <c r="AH37" s="371">
        <f t="shared" ref="AH37" si="335">(AH36-AH35)/AH35</f>
        <v>-1</v>
      </c>
      <c r="AI37" s="371">
        <f t="shared" ref="AI37" si="336">(AI36-AI35)/AI35</f>
        <v>-1</v>
      </c>
      <c r="AJ37" s="371">
        <f t="shared" ref="AJ37" si="337">(AJ36-AJ35)/AJ35</f>
        <v>-1</v>
      </c>
      <c r="AK37" s="371">
        <f t="shared" ref="AK37" si="338">(AK36-AK35)/AK35</f>
        <v>-1</v>
      </c>
      <c r="AL37" s="371">
        <f t="shared" ref="AL37" si="339">(AL36-AL35)/AL35</f>
        <v>-1</v>
      </c>
      <c r="AM37" s="371">
        <f t="shared" ref="AM37" si="340">(AM36-AM35)/AM35</f>
        <v>-1</v>
      </c>
      <c r="AN37" s="383">
        <f t="shared" ref="AN37" si="341">(AN36-AN35)/AN35</f>
        <v>-1</v>
      </c>
      <c r="AO37" s="371">
        <f t="shared" ref="AO37" si="342">(AO36-AO35)/AO35</f>
        <v>-1</v>
      </c>
      <c r="AP37" s="371">
        <f t="shared" ref="AP37" si="343">(AP36-AP35)/AP35</f>
        <v>-1</v>
      </c>
      <c r="AQ37" s="371">
        <f t="shared" ref="AQ37" si="344">(AQ36-AQ35)/AQ35</f>
        <v>-1</v>
      </c>
      <c r="AR37" s="371">
        <f t="shared" ref="AR37" si="345">(AR36-AR35)/AR35</f>
        <v>-1</v>
      </c>
      <c r="AS37" s="371">
        <f t="shared" ref="AS37" si="346">(AS36-AS35)/AS35</f>
        <v>-1</v>
      </c>
      <c r="AT37" s="371">
        <f t="shared" ref="AT37" si="347">(AT36-AT35)/AT35</f>
        <v>-1</v>
      </c>
      <c r="AU37" s="371">
        <f t="shared" ref="AU37" si="348">(AU36-AU35)/AU35</f>
        <v>-1</v>
      </c>
      <c r="AV37" s="371">
        <f t="shared" ref="AV37" si="349">(AV36-AV35)/AV35</f>
        <v>-1</v>
      </c>
      <c r="AW37" s="371">
        <f t="shared" ref="AW37" si="350">(AW36-AW35)/AW35</f>
        <v>-1</v>
      </c>
      <c r="AX37" s="371">
        <f t="shared" ref="AX37" si="351">(AX36-AX35)/AX35</f>
        <v>-1</v>
      </c>
      <c r="AY37" s="371">
        <f t="shared" ref="AY37" si="352">(AY36-AY35)/AY35</f>
        <v>-1</v>
      </c>
      <c r="AZ37" s="371">
        <f t="shared" ref="AZ37" si="353">(AZ36-AZ35)/AZ35</f>
        <v>-1</v>
      </c>
      <c r="BA37" s="382">
        <f t="shared" ref="BA37" si="354">(BA36-BA35)/BA35</f>
        <v>-1</v>
      </c>
      <c r="BB37" s="371">
        <f t="shared" ref="BB37" si="355">(BB36-BB35)/BB35</f>
        <v>-1</v>
      </c>
      <c r="BC37" s="371">
        <f t="shared" ref="BC37" si="356">(BC36-BC35)/BC35</f>
        <v>-1</v>
      </c>
      <c r="BD37" s="371">
        <f t="shared" ref="BD37" si="357">(BD36-BD35)/BD35</f>
        <v>-1</v>
      </c>
      <c r="BE37" s="371">
        <f t="shared" ref="BE37" si="358">(BE36-BE35)/BE35</f>
        <v>-1</v>
      </c>
      <c r="BF37" s="371">
        <f t="shared" ref="BF37" si="359">(BF36-BF35)/BF35</f>
        <v>-1</v>
      </c>
      <c r="BG37" s="371">
        <f t="shared" ref="BG37" si="360">(BG36-BG35)/BG35</f>
        <v>-1</v>
      </c>
      <c r="BH37" s="371">
        <f t="shared" ref="BH37" si="361">(BH36-BH35)/BH35</f>
        <v>-1</v>
      </c>
      <c r="BI37" s="371">
        <f t="shared" ref="BI37" si="362">(BI36-BI35)/BI35</f>
        <v>-1</v>
      </c>
      <c r="BJ37" s="371">
        <f t="shared" ref="BJ37" si="363">(BJ36-BJ35)/BJ35</f>
        <v>-1</v>
      </c>
      <c r="BK37" s="371">
        <f t="shared" ref="BK37" si="364">(BK36-BK35)/BK35</f>
        <v>-1</v>
      </c>
      <c r="BL37" s="383">
        <f t="shared" ref="BL37" si="365">(BL36-BL35)/BL35</f>
        <v>-1</v>
      </c>
    </row>
    <row r="38" spans="1:64" ht="16" customHeight="1" x14ac:dyDescent="0.25">
      <c r="A38" s="605"/>
      <c r="B38" s="607"/>
      <c r="C38" s="343" t="s">
        <v>497</v>
      </c>
      <c r="D38" s="402" t="s">
        <v>515</v>
      </c>
      <c r="E38" s="398">
        <f>'White label websites (WLW)'!C144</f>
        <v>4416</v>
      </c>
      <c r="F38" s="357">
        <f>'White label websites (WLW)'!D144</f>
        <v>4416</v>
      </c>
      <c r="G38" s="357">
        <f>'White label websites (WLW)'!E144</f>
        <v>4416</v>
      </c>
      <c r="H38" s="357">
        <f>'White label websites (WLW)'!F144</f>
        <v>8556</v>
      </c>
      <c r="I38" s="357">
        <f>'White label websites (WLW)'!G144</f>
        <v>8556</v>
      </c>
      <c r="J38" s="357">
        <f>'White label websites (WLW)'!H144</f>
        <v>8556</v>
      </c>
      <c r="K38" s="357">
        <f>'White label websites (WLW)'!I144</f>
        <v>8556</v>
      </c>
      <c r="L38" s="357">
        <f>'White label websites (WLW)'!J144</f>
        <v>14076</v>
      </c>
      <c r="M38" s="357">
        <f>'White label websites (WLW)'!K144</f>
        <v>17204</v>
      </c>
      <c r="N38" s="357">
        <f>'White label websites (WLW)'!L144</f>
        <v>27692</v>
      </c>
      <c r="O38" s="357">
        <f>'White label websites (WLW)'!M144</f>
        <v>39284</v>
      </c>
      <c r="P38" s="358">
        <f>'White label websites (WLW)'!N144</f>
        <v>45540</v>
      </c>
      <c r="Q38" s="357">
        <f>P38*1.02</f>
        <v>46450.8</v>
      </c>
      <c r="R38" s="357">
        <f t="shared" ref="R38:BL38" si="366">Q38*1.02</f>
        <v>47379.816000000006</v>
      </c>
      <c r="S38" s="357">
        <f t="shared" si="366"/>
        <v>48327.41232000001</v>
      </c>
      <c r="T38" s="357">
        <f t="shared" si="366"/>
        <v>49293.960566400012</v>
      </c>
      <c r="U38" s="357">
        <f t="shared" si="366"/>
        <v>50279.839777728012</v>
      </c>
      <c r="V38" s="357">
        <f t="shared" si="366"/>
        <v>51285.436573282575</v>
      </c>
      <c r="W38" s="357">
        <f t="shared" si="366"/>
        <v>52311.145304748228</v>
      </c>
      <c r="X38" s="357">
        <f t="shared" si="366"/>
        <v>53357.368210843197</v>
      </c>
      <c r="Y38" s="357">
        <f t="shared" si="366"/>
        <v>54424.515575060061</v>
      </c>
      <c r="Z38" s="357">
        <f t="shared" si="366"/>
        <v>55513.005886561266</v>
      </c>
      <c r="AA38" s="357">
        <f t="shared" si="366"/>
        <v>56623.266004292491</v>
      </c>
      <c r="AB38" s="357">
        <f t="shared" si="366"/>
        <v>57755.731324378343</v>
      </c>
      <c r="AC38" s="398">
        <f t="shared" si="366"/>
        <v>58910.845950865914</v>
      </c>
      <c r="AD38" s="357">
        <f t="shared" si="366"/>
        <v>60089.062869883237</v>
      </c>
      <c r="AE38" s="357">
        <f t="shared" si="366"/>
        <v>61290.8441272809</v>
      </c>
      <c r="AF38" s="357">
        <f t="shared" si="366"/>
        <v>62516.661009826516</v>
      </c>
      <c r="AG38" s="357">
        <f t="shared" si="366"/>
        <v>63766.994230023047</v>
      </c>
      <c r="AH38" s="357">
        <f t="shared" si="366"/>
        <v>65042.334114623511</v>
      </c>
      <c r="AI38" s="357">
        <f t="shared" si="366"/>
        <v>66343.180796915985</v>
      </c>
      <c r="AJ38" s="357">
        <f t="shared" si="366"/>
        <v>67670.044412854302</v>
      </c>
      <c r="AK38" s="357">
        <f t="shared" si="366"/>
        <v>69023.445301111395</v>
      </c>
      <c r="AL38" s="357">
        <f t="shared" si="366"/>
        <v>70403.914207133625</v>
      </c>
      <c r="AM38" s="357">
        <f t="shared" si="366"/>
        <v>71811.992491276294</v>
      </c>
      <c r="AN38" s="358">
        <f t="shared" si="366"/>
        <v>73248.232341101815</v>
      </c>
      <c r="AO38" s="357">
        <f t="shared" si="366"/>
        <v>74713.196987923846</v>
      </c>
      <c r="AP38" s="357">
        <f t="shared" si="366"/>
        <v>76207.460927682318</v>
      </c>
      <c r="AQ38" s="357">
        <f t="shared" si="366"/>
        <v>77731.610146235966</v>
      </c>
      <c r="AR38" s="357">
        <f t="shared" si="366"/>
        <v>79286.24234916069</v>
      </c>
      <c r="AS38" s="357">
        <f t="shared" si="366"/>
        <v>80871.967196143902</v>
      </c>
      <c r="AT38" s="357">
        <f t="shared" si="366"/>
        <v>82489.406540066775</v>
      </c>
      <c r="AU38" s="357">
        <f t="shared" si="366"/>
        <v>84139.194670868106</v>
      </c>
      <c r="AV38" s="357">
        <f t="shared" si="366"/>
        <v>85821.978564285469</v>
      </c>
      <c r="AW38" s="357">
        <f t="shared" si="366"/>
        <v>87538.418135571177</v>
      </c>
      <c r="AX38" s="357">
        <f t="shared" si="366"/>
        <v>89289.186498282608</v>
      </c>
      <c r="AY38" s="357">
        <f t="shared" si="366"/>
        <v>91074.970228248261</v>
      </c>
      <c r="AZ38" s="357">
        <f t="shared" si="366"/>
        <v>92896.469632813227</v>
      </c>
      <c r="BA38" s="398">
        <f t="shared" si="366"/>
        <v>94754.399025469495</v>
      </c>
      <c r="BB38" s="357">
        <f t="shared" si="366"/>
        <v>96649.487005978881</v>
      </c>
      <c r="BC38" s="357">
        <f t="shared" si="366"/>
        <v>98582.476746098459</v>
      </c>
      <c r="BD38" s="357">
        <f t="shared" si="366"/>
        <v>100554.12628102044</v>
      </c>
      <c r="BE38" s="357">
        <f t="shared" si="366"/>
        <v>102565.20880664085</v>
      </c>
      <c r="BF38" s="357">
        <f t="shared" si="366"/>
        <v>104616.51298277367</v>
      </c>
      <c r="BG38" s="357">
        <f t="shared" si="366"/>
        <v>106708.84324242914</v>
      </c>
      <c r="BH38" s="357">
        <f t="shared" si="366"/>
        <v>108843.02010727773</v>
      </c>
      <c r="BI38" s="357">
        <f t="shared" si="366"/>
        <v>111019.88050942328</v>
      </c>
      <c r="BJ38" s="357">
        <f t="shared" si="366"/>
        <v>113240.27811961174</v>
      </c>
      <c r="BK38" s="357">
        <f t="shared" si="366"/>
        <v>115505.08368200398</v>
      </c>
      <c r="BL38" s="358">
        <f t="shared" si="366"/>
        <v>117815.18535564406</v>
      </c>
    </row>
    <row r="39" spans="1:64" ht="17" x14ac:dyDescent="0.25">
      <c r="A39" s="605"/>
      <c r="B39" s="607"/>
      <c r="C39" s="343" t="s">
        <v>498</v>
      </c>
      <c r="D39" s="402" t="s">
        <v>515</v>
      </c>
      <c r="E39" s="388">
        <v>15000</v>
      </c>
      <c r="F39" s="344">
        <v>15000</v>
      </c>
      <c r="G39" s="344"/>
      <c r="H39" s="344"/>
      <c r="I39" s="344"/>
      <c r="J39" s="344"/>
      <c r="K39" s="344"/>
      <c r="L39" s="344"/>
      <c r="M39" s="344"/>
      <c r="N39" s="344"/>
      <c r="O39" s="344"/>
      <c r="P39" s="345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88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5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88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5"/>
    </row>
    <row r="40" spans="1:64" x14ac:dyDescent="0.25">
      <c r="A40" s="605"/>
      <c r="B40" s="607"/>
      <c r="C40" s="325" t="s">
        <v>507</v>
      </c>
      <c r="D40" s="402" t="s">
        <v>499</v>
      </c>
      <c r="E40" s="385">
        <f>(E39-E38)/E38</f>
        <v>2.3967391304347827</v>
      </c>
      <c r="F40" s="326">
        <f t="shared" ref="F40" si="367">(F39-F38)/F38</f>
        <v>2.3967391304347827</v>
      </c>
      <c r="G40" s="326">
        <f t="shared" ref="G40" si="368">(G39-G38)/G38</f>
        <v>-1</v>
      </c>
      <c r="H40" s="326">
        <f t="shared" ref="H40" si="369">(H39-H38)/H38</f>
        <v>-1</v>
      </c>
      <c r="I40" s="326">
        <f t="shared" ref="I40" si="370">(I39-I38)/I38</f>
        <v>-1</v>
      </c>
      <c r="J40" s="326">
        <f t="shared" ref="J40" si="371">(J39-J38)/J38</f>
        <v>-1</v>
      </c>
      <c r="K40" s="326">
        <f t="shared" ref="K40" si="372">(K39-K38)/K38</f>
        <v>-1</v>
      </c>
      <c r="L40" s="326">
        <f t="shared" ref="L40" si="373">(L39-L38)/L38</f>
        <v>-1</v>
      </c>
      <c r="M40" s="326">
        <f t="shared" ref="M40" si="374">(M39-M38)/M38</f>
        <v>-1</v>
      </c>
      <c r="N40" s="326">
        <f t="shared" ref="N40" si="375">(N39-N38)/N38</f>
        <v>-1</v>
      </c>
      <c r="O40" s="326">
        <f t="shared" ref="O40" si="376">(O39-O38)/O38</f>
        <v>-1</v>
      </c>
      <c r="P40" s="333">
        <f t="shared" ref="P40" si="377">(P39-P38)/P38</f>
        <v>-1</v>
      </c>
      <c r="Q40" s="326">
        <f t="shared" ref="Q40" si="378">(Q39-Q38)/Q38</f>
        <v>-1</v>
      </c>
      <c r="R40" s="326">
        <f t="shared" ref="R40" si="379">(R39-R38)/R38</f>
        <v>-1</v>
      </c>
      <c r="S40" s="326">
        <f t="shared" ref="S40" si="380">(S39-S38)/S38</f>
        <v>-1</v>
      </c>
      <c r="T40" s="326">
        <f t="shared" ref="T40" si="381">(T39-T38)/T38</f>
        <v>-1</v>
      </c>
      <c r="U40" s="326">
        <f t="shared" ref="U40" si="382">(U39-U38)/U38</f>
        <v>-1</v>
      </c>
      <c r="V40" s="326">
        <f t="shared" ref="V40" si="383">(V39-V38)/V38</f>
        <v>-1</v>
      </c>
      <c r="W40" s="326">
        <f t="shared" ref="W40" si="384">(W39-W38)/W38</f>
        <v>-1</v>
      </c>
      <c r="X40" s="326">
        <f t="shared" ref="X40" si="385">(X39-X38)/X38</f>
        <v>-1</v>
      </c>
      <c r="Y40" s="326">
        <f t="shared" ref="Y40" si="386">(Y39-Y38)/Y38</f>
        <v>-1</v>
      </c>
      <c r="Z40" s="326">
        <f t="shared" ref="Z40" si="387">(Z39-Z38)/Z38</f>
        <v>-1</v>
      </c>
      <c r="AA40" s="326">
        <f t="shared" ref="AA40" si="388">(AA39-AA38)/AA38</f>
        <v>-1</v>
      </c>
      <c r="AB40" s="326">
        <f t="shared" ref="AB40" si="389">(AB39-AB38)/AB38</f>
        <v>-1</v>
      </c>
      <c r="AC40" s="385">
        <f t="shared" ref="AC40" si="390">(AC39-AC38)/AC38</f>
        <v>-1</v>
      </c>
      <c r="AD40" s="326">
        <f t="shared" ref="AD40" si="391">(AD39-AD38)/AD38</f>
        <v>-1</v>
      </c>
      <c r="AE40" s="326">
        <f t="shared" ref="AE40" si="392">(AE39-AE38)/AE38</f>
        <v>-1</v>
      </c>
      <c r="AF40" s="326">
        <f t="shared" ref="AF40" si="393">(AF39-AF38)/AF38</f>
        <v>-1</v>
      </c>
      <c r="AG40" s="326">
        <f t="shared" ref="AG40" si="394">(AG39-AG38)/AG38</f>
        <v>-1</v>
      </c>
      <c r="AH40" s="326">
        <f t="shared" ref="AH40" si="395">(AH39-AH38)/AH38</f>
        <v>-1</v>
      </c>
      <c r="AI40" s="326">
        <f t="shared" ref="AI40" si="396">(AI39-AI38)/AI38</f>
        <v>-1</v>
      </c>
      <c r="AJ40" s="326">
        <f t="shared" ref="AJ40" si="397">(AJ39-AJ38)/AJ38</f>
        <v>-1</v>
      </c>
      <c r="AK40" s="326">
        <f t="shared" ref="AK40" si="398">(AK39-AK38)/AK38</f>
        <v>-1</v>
      </c>
      <c r="AL40" s="326">
        <f t="shared" ref="AL40" si="399">(AL39-AL38)/AL38</f>
        <v>-1</v>
      </c>
      <c r="AM40" s="326">
        <f t="shared" ref="AM40" si="400">(AM39-AM38)/AM38</f>
        <v>-1</v>
      </c>
      <c r="AN40" s="333">
        <f t="shared" ref="AN40" si="401">(AN39-AN38)/AN38</f>
        <v>-1</v>
      </c>
      <c r="AO40" s="326">
        <f t="shared" ref="AO40" si="402">(AO39-AO38)/AO38</f>
        <v>-1</v>
      </c>
      <c r="AP40" s="326">
        <f t="shared" ref="AP40" si="403">(AP39-AP38)/AP38</f>
        <v>-1</v>
      </c>
      <c r="AQ40" s="326">
        <f t="shared" ref="AQ40" si="404">(AQ39-AQ38)/AQ38</f>
        <v>-1</v>
      </c>
      <c r="AR40" s="326">
        <f t="shared" ref="AR40" si="405">(AR39-AR38)/AR38</f>
        <v>-1</v>
      </c>
      <c r="AS40" s="326">
        <f t="shared" ref="AS40" si="406">(AS39-AS38)/AS38</f>
        <v>-1</v>
      </c>
      <c r="AT40" s="326">
        <f t="shared" ref="AT40" si="407">(AT39-AT38)/AT38</f>
        <v>-1</v>
      </c>
      <c r="AU40" s="326">
        <f t="shared" ref="AU40" si="408">(AU39-AU38)/AU38</f>
        <v>-1</v>
      </c>
      <c r="AV40" s="326">
        <f t="shared" ref="AV40" si="409">(AV39-AV38)/AV38</f>
        <v>-1</v>
      </c>
      <c r="AW40" s="326">
        <f t="shared" ref="AW40" si="410">(AW39-AW38)/AW38</f>
        <v>-1</v>
      </c>
      <c r="AX40" s="326">
        <f t="shared" ref="AX40" si="411">(AX39-AX38)/AX38</f>
        <v>-1</v>
      </c>
      <c r="AY40" s="326">
        <f t="shared" ref="AY40" si="412">(AY39-AY38)/AY38</f>
        <v>-1</v>
      </c>
      <c r="AZ40" s="326">
        <f t="shared" ref="AZ40" si="413">(AZ39-AZ38)/AZ38</f>
        <v>-1</v>
      </c>
      <c r="BA40" s="385">
        <f t="shared" ref="BA40" si="414">(BA39-BA38)/BA38</f>
        <v>-1</v>
      </c>
      <c r="BB40" s="326">
        <f t="shared" ref="BB40" si="415">(BB39-BB38)/BB38</f>
        <v>-1</v>
      </c>
      <c r="BC40" s="326">
        <f t="shared" ref="BC40" si="416">(BC39-BC38)/BC38</f>
        <v>-1</v>
      </c>
      <c r="BD40" s="326">
        <f t="shared" ref="BD40" si="417">(BD39-BD38)/BD38</f>
        <v>-1</v>
      </c>
      <c r="BE40" s="326">
        <f t="shared" ref="BE40" si="418">(BE39-BE38)/BE38</f>
        <v>-1</v>
      </c>
      <c r="BF40" s="326">
        <f t="shared" ref="BF40" si="419">(BF39-BF38)/BF38</f>
        <v>-1</v>
      </c>
      <c r="BG40" s="326">
        <f t="shared" ref="BG40" si="420">(BG39-BG38)/BG38</f>
        <v>-1</v>
      </c>
      <c r="BH40" s="326">
        <f t="shared" ref="BH40" si="421">(BH39-BH38)/BH38</f>
        <v>-1</v>
      </c>
      <c r="BI40" s="326">
        <f t="shared" ref="BI40" si="422">(BI39-BI38)/BI38</f>
        <v>-1</v>
      </c>
      <c r="BJ40" s="326">
        <f t="shared" ref="BJ40" si="423">(BJ39-BJ38)/BJ38</f>
        <v>-1</v>
      </c>
      <c r="BK40" s="326">
        <f t="shared" ref="BK40" si="424">(BK39-BK38)/BK38</f>
        <v>-1</v>
      </c>
      <c r="BL40" s="333">
        <f t="shared" ref="BL40" si="425">(BL39-BL38)/BL38</f>
        <v>-1</v>
      </c>
    </row>
    <row r="41" spans="1:64" ht="16" customHeight="1" x14ac:dyDescent="0.25">
      <c r="A41" s="605"/>
      <c r="B41" s="607"/>
      <c r="C41" s="372" t="s">
        <v>497</v>
      </c>
      <c r="D41" s="401" t="s">
        <v>514</v>
      </c>
      <c r="E41" s="396">
        <f>TURNOVER!C44</f>
        <v>1820</v>
      </c>
      <c r="F41" s="374">
        <f>TURNOVER!D44</f>
        <v>3640</v>
      </c>
      <c r="G41" s="374">
        <f>TURNOVER!E44</f>
        <v>5460</v>
      </c>
      <c r="H41" s="374">
        <f>TURNOVER!F44</f>
        <v>9100</v>
      </c>
      <c r="I41" s="374">
        <f>TURNOVER!G44</f>
        <v>12740</v>
      </c>
      <c r="J41" s="374">
        <f>TURNOVER!H44</f>
        <v>16380</v>
      </c>
      <c r="K41" s="374">
        <f>TURNOVER!I44</f>
        <v>20020</v>
      </c>
      <c r="L41" s="374">
        <f>TURNOVER!J44</f>
        <v>27300</v>
      </c>
      <c r="M41" s="374">
        <f>TURNOVER!K44</f>
        <v>35337.5</v>
      </c>
      <c r="N41" s="374">
        <f>TURNOVER!L44</f>
        <v>46840</v>
      </c>
      <c r="O41" s="374">
        <f>TURNOVER!M44</f>
        <v>61050</v>
      </c>
      <c r="P41" s="397">
        <f>TURNOVER!N44</f>
        <v>78725</v>
      </c>
      <c r="Q41" s="374">
        <f>TURNOVER!O44</f>
        <v>81086.75</v>
      </c>
      <c r="R41" s="374">
        <f>TURNOVER!P44</f>
        <v>83519.352500000008</v>
      </c>
      <c r="S41" s="374">
        <f>TURNOVER!Q44</f>
        <v>86024.933075000008</v>
      </c>
      <c r="T41" s="374">
        <f>TURNOVER!R44</f>
        <v>88605.681067250014</v>
      </c>
      <c r="U41" s="374">
        <f>TURNOVER!S44</f>
        <v>91263.851499267519</v>
      </c>
      <c r="V41" s="374">
        <f>TURNOVER!T44</f>
        <v>94001.767044245542</v>
      </c>
      <c r="W41" s="374">
        <f>TURNOVER!U44</f>
        <v>96821.820055572913</v>
      </c>
      <c r="X41" s="374">
        <f>TURNOVER!V44</f>
        <v>99726.474657240105</v>
      </c>
      <c r="Y41" s="374">
        <f>TURNOVER!W44</f>
        <v>102718.26889695731</v>
      </c>
      <c r="Z41" s="374">
        <f>TURNOVER!X44</f>
        <v>105799.81696386603</v>
      </c>
      <c r="AA41" s="374">
        <f>TURNOVER!Y44</f>
        <v>108973.81147278202</v>
      </c>
      <c r="AB41" s="374">
        <f>TURNOVER!Z44</f>
        <v>112243.02581696548</v>
      </c>
      <c r="AC41" s="396">
        <f>TURNOVER!AA44</f>
        <v>115610.31659147445</v>
      </c>
      <c r="AD41" s="374">
        <f>TURNOVER!AB44</f>
        <v>119078.62608921868</v>
      </c>
      <c r="AE41" s="374">
        <f>TURNOVER!AC44</f>
        <v>122650.98487189524</v>
      </c>
      <c r="AF41" s="374">
        <f>TURNOVER!AD44</f>
        <v>126330.5144180521</v>
      </c>
      <c r="AG41" s="374">
        <f>TURNOVER!AE44</f>
        <v>130120.42985059367</v>
      </c>
      <c r="AH41" s="374">
        <f>TURNOVER!AF44</f>
        <v>134024.04274611149</v>
      </c>
      <c r="AI41" s="374">
        <f>TURNOVER!AG44</f>
        <v>138044.76402849483</v>
      </c>
      <c r="AJ41" s="374">
        <f>TURNOVER!AH44</f>
        <v>142186.10694934969</v>
      </c>
      <c r="AK41" s="374">
        <f>TURNOVER!AI44</f>
        <v>146451.69015783019</v>
      </c>
      <c r="AL41" s="374">
        <f>TURNOVER!AJ44</f>
        <v>150845.24086256512</v>
      </c>
      <c r="AM41" s="374">
        <f>TURNOVER!AK44</f>
        <v>155370.59808844209</v>
      </c>
      <c r="AN41" s="397">
        <f>TURNOVER!AL44</f>
        <v>160031.71603109536</v>
      </c>
      <c r="AO41" s="374">
        <f>TURNOVER!AM44</f>
        <v>164832.66751202822</v>
      </c>
      <c r="AP41" s="374">
        <f>TURNOVER!AN44</f>
        <v>169777.64753738907</v>
      </c>
      <c r="AQ41" s="374">
        <f>TURNOVER!AO44</f>
        <v>174870.97696351074</v>
      </c>
      <c r="AR41" s="374">
        <f>TURNOVER!AP44</f>
        <v>180117.10627241607</v>
      </c>
      <c r="AS41" s="374">
        <f>TURNOVER!AQ44</f>
        <v>185520.61946058855</v>
      </c>
      <c r="AT41" s="374">
        <f>TURNOVER!AR44</f>
        <v>191086.23804440623</v>
      </c>
      <c r="AU41" s="374">
        <f>TURNOVER!AS44</f>
        <v>196818.82518573842</v>
      </c>
      <c r="AV41" s="374">
        <f>TURNOVER!AT44</f>
        <v>202723.38994131057</v>
      </c>
      <c r="AW41" s="374">
        <f>TURNOVER!AU44</f>
        <v>208805.09163954988</v>
      </c>
      <c r="AX41" s="374">
        <f>TURNOVER!AV44</f>
        <v>215069.24438873638</v>
      </c>
      <c r="AY41" s="374">
        <f>TURNOVER!AW44</f>
        <v>221521.32172039847</v>
      </c>
      <c r="AZ41" s="374">
        <f>TURNOVER!AX44</f>
        <v>228166.96137201044</v>
      </c>
      <c r="BA41" s="396">
        <f>TURNOVER!AY44</f>
        <v>235011.97021317075</v>
      </c>
      <c r="BB41" s="374">
        <f>TURNOVER!AZ44</f>
        <v>242062.32931956588</v>
      </c>
      <c r="BC41" s="374">
        <f>TURNOVER!BA44</f>
        <v>249324.19919915285</v>
      </c>
      <c r="BD41" s="374">
        <f>TURNOVER!BB44</f>
        <v>256803.92517512743</v>
      </c>
      <c r="BE41" s="374">
        <f>TURNOVER!BC44</f>
        <v>264508.04293038126</v>
      </c>
      <c r="BF41" s="374">
        <f>TURNOVER!BD44</f>
        <v>272443.28421829268</v>
      </c>
      <c r="BG41" s="374">
        <f>TURNOVER!BE44</f>
        <v>280616.58274484146</v>
      </c>
      <c r="BH41" s="374">
        <f>TURNOVER!BF44</f>
        <v>289035.08022718673</v>
      </c>
      <c r="BI41" s="374">
        <f>TURNOVER!BG44</f>
        <v>297706.13263400237</v>
      </c>
      <c r="BJ41" s="374">
        <f>TURNOVER!BH44</f>
        <v>306637.31661302247</v>
      </c>
      <c r="BK41" s="374">
        <f>TURNOVER!BI44</f>
        <v>315836.43611141318</v>
      </c>
      <c r="BL41" s="397">
        <f>TURNOVER!BJ44</f>
        <v>325311.5291947556</v>
      </c>
    </row>
    <row r="42" spans="1:64" ht="17" x14ac:dyDescent="0.25">
      <c r="A42" s="605"/>
      <c r="B42" s="607"/>
      <c r="C42" s="373" t="s">
        <v>498</v>
      </c>
      <c r="D42" s="402" t="s">
        <v>514</v>
      </c>
      <c r="E42" s="388">
        <v>60000</v>
      </c>
      <c r="F42" s="344">
        <v>3000</v>
      </c>
      <c r="G42" s="344">
        <v>3000</v>
      </c>
      <c r="H42" s="344"/>
      <c r="I42" s="344"/>
      <c r="J42" s="344"/>
      <c r="K42" s="344"/>
      <c r="L42" s="344"/>
      <c r="M42" s="344"/>
      <c r="N42" s="344"/>
      <c r="O42" s="344"/>
      <c r="P42" s="345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88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5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88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5"/>
    </row>
    <row r="43" spans="1:64" x14ac:dyDescent="0.25">
      <c r="A43" s="605"/>
      <c r="B43" s="607"/>
      <c r="C43" s="370" t="s">
        <v>507</v>
      </c>
      <c r="D43" s="403" t="s">
        <v>499</v>
      </c>
      <c r="E43" s="382">
        <f>(E42-E41)/E41</f>
        <v>31.967032967032967</v>
      </c>
      <c r="F43" s="371">
        <f t="shared" ref="F43" si="426">(F42-F41)/F41</f>
        <v>-0.17582417582417584</v>
      </c>
      <c r="G43" s="371">
        <f t="shared" ref="G43" si="427">(G42-G41)/G41</f>
        <v>-0.45054945054945056</v>
      </c>
      <c r="H43" s="371">
        <f t="shared" ref="H43" si="428">(H42-H41)/H41</f>
        <v>-1</v>
      </c>
      <c r="I43" s="371">
        <f t="shared" ref="I43" si="429">(I42-I41)/I41</f>
        <v>-1</v>
      </c>
      <c r="J43" s="371">
        <f t="shared" ref="J43" si="430">(J42-J41)/J41</f>
        <v>-1</v>
      </c>
      <c r="K43" s="371">
        <f t="shared" ref="K43" si="431">(K42-K41)/K41</f>
        <v>-1</v>
      </c>
      <c r="L43" s="371">
        <f t="shared" ref="L43" si="432">(L42-L41)/L41</f>
        <v>-1</v>
      </c>
      <c r="M43" s="371">
        <f t="shared" ref="M43" si="433">(M42-M41)/M41</f>
        <v>-1</v>
      </c>
      <c r="N43" s="371">
        <f t="shared" ref="N43" si="434">(N42-N41)/N41</f>
        <v>-1</v>
      </c>
      <c r="O43" s="371">
        <f t="shared" ref="O43" si="435">(O42-O41)/O41</f>
        <v>-1</v>
      </c>
      <c r="P43" s="383">
        <f t="shared" ref="P43" si="436">(P42-P41)/P41</f>
        <v>-1</v>
      </c>
      <c r="Q43" s="371">
        <f t="shared" ref="Q43" si="437">(Q42-Q41)/Q41</f>
        <v>-1</v>
      </c>
      <c r="R43" s="371">
        <f t="shared" ref="R43" si="438">(R42-R41)/R41</f>
        <v>-1</v>
      </c>
      <c r="S43" s="371">
        <f t="shared" ref="S43" si="439">(S42-S41)/S41</f>
        <v>-1</v>
      </c>
      <c r="T43" s="371">
        <f t="shared" ref="T43" si="440">(T42-T41)/T41</f>
        <v>-1</v>
      </c>
      <c r="U43" s="371">
        <f t="shared" ref="U43" si="441">(U42-U41)/U41</f>
        <v>-1</v>
      </c>
      <c r="V43" s="371">
        <f t="shared" ref="V43" si="442">(V42-V41)/V41</f>
        <v>-1</v>
      </c>
      <c r="W43" s="371">
        <f t="shared" ref="W43" si="443">(W42-W41)/W41</f>
        <v>-1</v>
      </c>
      <c r="X43" s="371">
        <f t="shared" ref="X43" si="444">(X42-X41)/X41</f>
        <v>-1</v>
      </c>
      <c r="Y43" s="371">
        <f t="shared" ref="Y43" si="445">(Y42-Y41)/Y41</f>
        <v>-1</v>
      </c>
      <c r="Z43" s="371">
        <f t="shared" ref="Z43" si="446">(Z42-Z41)/Z41</f>
        <v>-1</v>
      </c>
      <c r="AA43" s="371">
        <f t="shared" ref="AA43" si="447">(AA42-AA41)/AA41</f>
        <v>-1</v>
      </c>
      <c r="AB43" s="371">
        <f t="shared" ref="AB43" si="448">(AB42-AB41)/AB41</f>
        <v>-1</v>
      </c>
      <c r="AC43" s="382">
        <f t="shared" ref="AC43" si="449">(AC42-AC41)/AC41</f>
        <v>-1</v>
      </c>
      <c r="AD43" s="371">
        <f t="shared" ref="AD43" si="450">(AD42-AD41)/AD41</f>
        <v>-1</v>
      </c>
      <c r="AE43" s="371">
        <f t="shared" ref="AE43" si="451">(AE42-AE41)/AE41</f>
        <v>-1</v>
      </c>
      <c r="AF43" s="371">
        <f t="shared" ref="AF43" si="452">(AF42-AF41)/AF41</f>
        <v>-1</v>
      </c>
      <c r="AG43" s="371">
        <f t="shared" ref="AG43" si="453">(AG42-AG41)/AG41</f>
        <v>-1</v>
      </c>
      <c r="AH43" s="371">
        <f t="shared" ref="AH43" si="454">(AH42-AH41)/AH41</f>
        <v>-1</v>
      </c>
      <c r="AI43" s="371">
        <f t="shared" ref="AI43" si="455">(AI42-AI41)/AI41</f>
        <v>-1</v>
      </c>
      <c r="AJ43" s="371">
        <f t="shared" ref="AJ43" si="456">(AJ42-AJ41)/AJ41</f>
        <v>-1</v>
      </c>
      <c r="AK43" s="371">
        <f t="shared" ref="AK43" si="457">(AK42-AK41)/AK41</f>
        <v>-1</v>
      </c>
      <c r="AL43" s="371">
        <f t="shared" ref="AL43" si="458">(AL42-AL41)/AL41</f>
        <v>-1</v>
      </c>
      <c r="AM43" s="371">
        <f t="shared" ref="AM43" si="459">(AM42-AM41)/AM41</f>
        <v>-1</v>
      </c>
      <c r="AN43" s="383">
        <f t="shared" ref="AN43" si="460">(AN42-AN41)/AN41</f>
        <v>-1</v>
      </c>
      <c r="AO43" s="371">
        <f t="shared" ref="AO43" si="461">(AO42-AO41)/AO41</f>
        <v>-1</v>
      </c>
      <c r="AP43" s="371">
        <f t="shared" ref="AP43" si="462">(AP42-AP41)/AP41</f>
        <v>-1</v>
      </c>
      <c r="AQ43" s="371">
        <f t="shared" ref="AQ43" si="463">(AQ42-AQ41)/AQ41</f>
        <v>-1</v>
      </c>
      <c r="AR43" s="371">
        <f t="shared" ref="AR43" si="464">(AR42-AR41)/AR41</f>
        <v>-1</v>
      </c>
      <c r="AS43" s="371">
        <f t="shared" ref="AS43" si="465">(AS42-AS41)/AS41</f>
        <v>-1</v>
      </c>
      <c r="AT43" s="371">
        <f t="shared" ref="AT43" si="466">(AT42-AT41)/AT41</f>
        <v>-1</v>
      </c>
      <c r="AU43" s="371">
        <f t="shared" ref="AU43" si="467">(AU42-AU41)/AU41</f>
        <v>-1</v>
      </c>
      <c r="AV43" s="371">
        <f t="shared" ref="AV43" si="468">(AV42-AV41)/AV41</f>
        <v>-1</v>
      </c>
      <c r="AW43" s="371">
        <f t="shared" ref="AW43" si="469">(AW42-AW41)/AW41</f>
        <v>-1</v>
      </c>
      <c r="AX43" s="371">
        <f t="shared" ref="AX43" si="470">(AX42-AX41)/AX41</f>
        <v>-1</v>
      </c>
      <c r="AY43" s="371">
        <f t="shared" ref="AY43" si="471">(AY42-AY41)/AY41</f>
        <v>-1</v>
      </c>
      <c r="AZ43" s="371">
        <f t="shared" ref="AZ43" si="472">(AZ42-AZ41)/AZ41</f>
        <v>-1</v>
      </c>
      <c r="BA43" s="382">
        <f t="shared" ref="BA43" si="473">(BA42-BA41)/BA41</f>
        <v>-1</v>
      </c>
      <c r="BB43" s="371">
        <f t="shared" ref="BB43" si="474">(BB42-BB41)/BB41</f>
        <v>-1</v>
      </c>
      <c r="BC43" s="371">
        <f t="shared" ref="BC43" si="475">(BC42-BC41)/BC41</f>
        <v>-1</v>
      </c>
      <c r="BD43" s="371">
        <f t="shared" ref="BD43" si="476">(BD42-BD41)/BD41</f>
        <v>-1</v>
      </c>
      <c r="BE43" s="371">
        <f t="shared" ref="BE43" si="477">(BE42-BE41)/BE41</f>
        <v>-1</v>
      </c>
      <c r="BF43" s="371">
        <f t="shared" ref="BF43" si="478">(BF42-BF41)/BF41</f>
        <v>-1</v>
      </c>
      <c r="BG43" s="371">
        <f t="shared" ref="BG43" si="479">(BG42-BG41)/BG41</f>
        <v>-1</v>
      </c>
      <c r="BH43" s="371">
        <f t="shared" ref="BH43" si="480">(BH42-BH41)/BH41</f>
        <v>-1</v>
      </c>
      <c r="BI43" s="371">
        <f t="shared" ref="BI43" si="481">(BI42-BI41)/BI41</f>
        <v>-1</v>
      </c>
      <c r="BJ43" s="371">
        <f t="shared" ref="BJ43" si="482">(BJ42-BJ41)/BJ41</f>
        <v>-1</v>
      </c>
      <c r="BK43" s="371">
        <f t="shared" ref="BK43" si="483">(BK42-BK41)/BK41</f>
        <v>-1</v>
      </c>
      <c r="BL43" s="383">
        <f t="shared" ref="BL43" si="484">(BL42-BL41)/BL41</f>
        <v>-1</v>
      </c>
    </row>
    <row r="44" spans="1:64" ht="16" customHeight="1" x14ac:dyDescent="0.25">
      <c r="A44" s="605"/>
      <c r="B44" s="607"/>
      <c r="C44" s="343" t="s">
        <v>497</v>
      </c>
      <c r="D44" s="402" t="s">
        <v>55</v>
      </c>
      <c r="E44" s="398">
        <f>TURNOVER!C55</f>
        <v>4771</v>
      </c>
      <c r="F44" s="357">
        <f>TURNOVER!D55</f>
        <v>4991.8</v>
      </c>
      <c r="G44" s="357">
        <f>TURNOVER!E55</f>
        <v>4991.8</v>
      </c>
      <c r="H44" s="357">
        <f>TURNOVER!F55</f>
        <v>9236.7999999999993</v>
      </c>
      <c r="I44" s="357">
        <f>TURNOVER!G55</f>
        <v>9443.7999999999993</v>
      </c>
      <c r="J44" s="357">
        <f>TURNOVER!H55</f>
        <v>9443.7999999999993</v>
      </c>
      <c r="K44" s="357">
        <f>TURNOVER!I55</f>
        <v>9443.7999999999993</v>
      </c>
      <c r="L44" s="357">
        <f>TURNOVER!J55</f>
        <v>15673.8</v>
      </c>
      <c r="M44" s="357">
        <f>TURNOVER!K55</f>
        <v>19777.8</v>
      </c>
      <c r="N44" s="357">
        <f>TURNOVER!L55</f>
        <v>32122.2</v>
      </c>
      <c r="O44" s="357">
        <f>TURNOVER!M55</f>
        <v>45788.6</v>
      </c>
      <c r="P44" s="358">
        <f>TURNOVER!N55</f>
        <v>54024.2</v>
      </c>
      <c r="Q44" s="357">
        <f>TURNOVER!O55</f>
        <v>55104.684000000001</v>
      </c>
      <c r="R44" s="357">
        <f>TURNOVER!P55</f>
        <v>56206.777679999999</v>
      </c>
      <c r="S44" s="357">
        <f>TURNOVER!Q55</f>
        <v>57330.913233599997</v>
      </c>
      <c r="T44" s="357">
        <f>TURNOVER!R55</f>
        <v>58477.531498272001</v>
      </c>
      <c r="U44" s="357">
        <f>TURNOVER!S55</f>
        <v>59647.082128237445</v>
      </c>
      <c r="V44" s="357">
        <f>TURNOVER!T55</f>
        <v>60840.023770802196</v>
      </c>
      <c r="W44" s="357">
        <f>TURNOVER!U55</f>
        <v>62056.824246218239</v>
      </c>
      <c r="X44" s="357">
        <f>TURNOVER!V55</f>
        <v>63297.960731142608</v>
      </c>
      <c r="Y44" s="357">
        <f>TURNOVER!W55</f>
        <v>64563.919945765461</v>
      </c>
      <c r="Z44" s="357">
        <f>TURNOVER!X55</f>
        <v>65855.198344680772</v>
      </c>
      <c r="AA44" s="357">
        <f>TURNOVER!Y55</f>
        <v>67172.302311574385</v>
      </c>
      <c r="AB44" s="357">
        <f>TURNOVER!Z55</f>
        <v>68515.748357805875</v>
      </c>
      <c r="AC44" s="398">
        <f>TURNOVER!AA55</f>
        <v>69886.063324962</v>
      </c>
      <c r="AD44" s="357">
        <f>TURNOVER!AB55</f>
        <v>71283.784591461241</v>
      </c>
      <c r="AE44" s="357">
        <f>TURNOVER!AC55</f>
        <v>72709.460283290464</v>
      </c>
      <c r="AF44" s="357">
        <f>TURNOVER!AD55</f>
        <v>74163.649488956275</v>
      </c>
      <c r="AG44" s="357">
        <f>TURNOVER!AE55</f>
        <v>75646.922478735403</v>
      </c>
      <c r="AH44" s="357">
        <f>TURNOVER!AF55</f>
        <v>77159.86092831011</v>
      </c>
      <c r="AI44" s="357">
        <f>TURNOVER!AG55</f>
        <v>78703.058146876312</v>
      </c>
      <c r="AJ44" s="357">
        <f>TURNOVER!AH55</f>
        <v>80277.119309813846</v>
      </c>
      <c r="AK44" s="357">
        <f>TURNOVER!AI55</f>
        <v>81882.661696010124</v>
      </c>
      <c r="AL44" s="357">
        <f>TURNOVER!AJ55</f>
        <v>83520.314929930333</v>
      </c>
      <c r="AM44" s="357">
        <f>TURNOVER!AK55</f>
        <v>85190.721228528942</v>
      </c>
      <c r="AN44" s="358">
        <f>TURNOVER!AL55</f>
        <v>86894.53565309952</v>
      </c>
      <c r="AO44" s="357">
        <f>TURNOVER!AM55</f>
        <v>88632.426366161511</v>
      </c>
      <c r="AP44" s="357">
        <f>TURNOVER!AN55</f>
        <v>90405.074893484736</v>
      </c>
      <c r="AQ44" s="357">
        <f>TURNOVER!AO55</f>
        <v>92213.176391354427</v>
      </c>
      <c r="AR44" s="357">
        <f>TURNOVER!AP55</f>
        <v>94057.439919181517</v>
      </c>
      <c r="AS44" s="357">
        <f>TURNOVER!AQ55</f>
        <v>95938.588717565144</v>
      </c>
      <c r="AT44" s="357">
        <f>TURNOVER!AR55</f>
        <v>97857.36049191645</v>
      </c>
      <c r="AU44" s="357">
        <f>TURNOVER!AS55</f>
        <v>99814.507701754774</v>
      </c>
      <c r="AV44" s="357">
        <f>TURNOVER!AT55</f>
        <v>101810.79785578988</v>
      </c>
      <c r="AW44" s="357">
        <f>TURNOVER!AU55</f>
        <v>103847.01381290567</v>
      </c>
      <c r="AX44" s="357">
        <f>TURNOVER!AV55</f>
        <v>105923.95408916379</v>
      </c>
      <c r="AY44" s="357">
        <f>TURNOVER!AW55</f>
        <v>108042.43317094707</v>
      </c>
      <c r="AZ44" s="357">
        <f>TURNOVER!AX55</f>
        <v>110203.28183436602</v>
      </c>
      <c r="BA44" s="398">
        <f>TURNOVER!AY55</f>
        <v>112407.34747105333</v>
      </c>
      <c r="BB44" s="357">
        <f>TURNOVER!AZ55</f>
        <v>114655.4944204744</v>
      </c>
      <c r="BC44" s="357">
        <f>TURNOVER!BA55</f>
        <v>116948.60430888388</v>
      </c>
      <c r="BD44" s="357">
        <f>TURNOVER!BB55</f>
        <v>119287.57639506155</v>
      </c>
      <c r="BE44" s="357">
        <f>TURNOVER!BC55</f>
        <v>121673.32792296278</v>
      </c>
      <c r="BF44" s="357">
        <f>TURNOVER!BD55</f>
        <v>124106.79448142204</v>
      </c>
      <c r="BG44" s="357">
        <f>TURNOVER!BE55</f>
        <v>126588.93037105048</v>
      </c>
      <c r="BH44" s="357">
        <f>TURNOVER!BF55</f>
        <v>129120.70897847149</v>
      </c>
      <c r="BI44" s="357">
        <f>TURNOVER!BG55</f>
        <v>131703.12315804092</v>
      </c>
      <c r="BJ44" s="357">
        <f>TURNOVER!BH55</f>
        <v>134337.18562120173</v>
      </c>
      <c r="BK44" s="357">
        <f>TURNOVER!BI55</f>
        <v>137023.92933362577</v>
      </c>
      <c r="BL44" s="358">
        <f>TURNOVER!BJ55</f>
        <v>139764.40792029828</v>
      </c>
    </row>
    <row r="45" spans="1:64" ht="17" x14ac:dyDescent="0.25">
      <c r="A45" s="605"/>
      <c r="B45" s="607"/>
      <c r="C45" s="343" t="s">
        <v>498</v>
      </c>
      <c r="D45" s="402" t="s">
        <v>55</v>
      </c>
      <c r="E45" s="388">
        <f>E27*(E30+E33+E36)+E39</f>
        <v>15400</v>
      </c>
      <c r="F45" s="344">
        <f t="shared" ref="F45:BL45" si="485">F27*(F30+F33+F36)+F39</f>
        <v>15600</v>
      </c>
      <c r="G45" s="344">
        <f t="shared" si="485"/>
        <v>0</v>
      </c>
      <c r="H45" s="344">
        <f t="shared" si="485"/>
        <v>0</v>
      </c>
      <c r="I45" s="344">
        <f t="shared" si="485"/>
        <v>0</v>
      </c>
      <c r="J45" s="344">
        <f t="shared" si="485"/>
        <v>0</v>
      </c>
      <c r="K45" s="344">
        <f t="shared" si="485"/>
        <v>0</v>
      </c>
      <c r="L45" s="344">
        <f t="shared" si="485"/>
        <v>0</v>
      </c>
      <c r="M45" s="344">
        <f t="shared" si="485"/>
        <v>0</v>
      </c>
      <c r="N45" s="344">
        <f t="shared" si="485"/>
        <v>0</v>
      </c>
      <c r="O45" s="344">
        <f t="shared" si="485"/>
        <v>0</v>
      </c>
      <c r="P45" s="345">
        <f t="shared" si="485"/>
        <v>0</v>
      </c>
      <c r="Q45" s="344">
        <f t="shared" si="485"/>
        <v>0</v>
      </c>
      <c r="R45" s="344">
        <f t="shared" si="485"/>
        <v>0</v>
      </c>
      <c r="S45" s="344">
        <f t="shared" si="485"/>
        <v>0</v>
      </c>
      <c r="T45" s="344">
        <f t="shared" si="485"/>
        <v>0</v>
      </c>
      <c r="U45" s="344">
        <f t="shared" si="485"/>
        <v>0</v>
      </c>
      <c r="V45" s="344">
        <f t="shared" si="485"/>
        <v>0</v>
      </c>
      <c r="W45" s="344">
        <f t="shared" si="485"/>
        <v>0</v>
      </c>
      <c r="X45" s="344">
        <f t="shared" si="485"/>
        <v>0</v>
      </c>
      <c r="Y45" s="344">
        <f t="shared" si="485"/>
        <v>0</v>
      </c>
      <c r="Z45" s="344">
        <f t="shared" si="485"/>
        <v>0</v>
      </c>
      <c r="AA45" s="344">
        <f t="shared" si="485"/>
        <v>0</v>
      </c>
      <c r="AB45" s="344">
        <f t="shared" si="485"/>
        <v>0</v>
      </c>
      <c r="AC45" s="388">
        <f t="shared" si="485"/>
        <v>0</v>
      </c>
      <c r="AD45" s="344">
        <f t="shared" si="485"/>
        <v>0</v>
      </c>
      <c r="AE45" s="344">
        <f t="shared" si="485"/>
        <v>0</v>
      </c>
      <c r="AF45" s="344">
        <f t="shared" si="485"/>
        <v>0</v>
      </c>
      <c r="AG45" s="344">
        <f t="shared" si="485"/>
        <v>0</v>
      </c>
      <c r="AH45" s="344">
        <f t="shared" si="485"/>
        <v>0</v>
      </c>
      <c r="AI45" s="344">
        <f t="shared" si="485"/>
        <v>0</v>
      </c>
      <c r="AJ45" s="344">
        <f t="shared" si="485"/>
        <v>0</v>
      </c>
      <c r="AK45" s="344">
        <f t="shared" si="485"/>
        <v>0</v>
      </c>
      <c r="AL45" s="344">
        <f t="shared" si="485"/>
        <v>0</v>
      </c>
      <c r="AM45" s="344">
        <f t="shared" si="485"/>
        <v>0</v>
      </c>
      <c r="AN45" s="345">
        <f t="shared" si="485"/>
        <v>0</v>
      </c>
      <c r="AO45" s="344">
        <f t="shared" si="485"/>
        <v>0</v>
      </c>
      <c r="AP45" s="344">
        <f t="shared" si="485"/>
        <v>0</v>
      </c>
      <c r="AQ45" s="344">
        <f t="shared" si="485"/>
        <v>0</v>
      </c>
      <c r="AR45" s="344">
        <f t="shared" si="485"/>
        <v>0</v>
      </c>
      <c r="AS45" s="344">
        <f t="shared" si="485"/>
        <v>0</v>
      </c>
      <c r="AT45" s="344">
        <f t="shared" si="485"/>
        <v>0</v>
      </c>
      <c r="AU45" s="344">
        <f t="shared" si="485"/>
        <v>0</v>
      </c>
      <c r="AV45" s="344">
        <f t="shared" si="485"/>
        <v>0</v>
      </c>
      <c r="AW45" s="344">
        <f t="shared" si="485"/>
        <v>0</v>
      </c>
      <c r="AX45" s="344">
        <f t="shared" si="485"/>
        <v>0</v>
      </c>
      <c r="AY45" s="344">
        <f t="shared" si="485"/>
        <v>0</v>
      </c>
      <c r="AZ45" s="344">
        <f t="shared" si="485"/>
        <v>0</v>
      </c>
      <c r="BA45" s="388">
        <f t="shared" si="485"/>
        <v>0</v>
      </c>
      <c r="BB45" s="344">
        <f t="shared" si="485"/>
        <v>0</v>
      </c>
      <c r="BC45" s="344">
        <f t="shared" si="485"/>
        <v>0</v>
      </c>
      <c r="BD45" s="344">
        <f t="shared" si="485"/>
        <v>0</v>
      </c>
      <c r="BE45" s="344">
        <f t="shared" si="485"/>
        <v>0</v>
      </c>
      <c r="BF45" s="344">
        <f t="shared" si="485"/>
        <v>0</v>
      </c>
      <c r="BG45" s="344">
        <f t="shared" si="485"/>
        <v>0</v>
      </c>
      <c r="BH45" s="344">
        <f t="shared" si="485"/>
        <v>0</v>
      </c>
      <c r="BI45" s="344">
        <f t="shared" si="485"/>
        <v>0</v>
      </c>
      <c r="BJ45" s="344">
        <f t="shared" si="485"/>
        <v>0</v>
      </c>
      <c r="BK45" s="344">
        <f t="shared" si="485"/>
        <v>0</v>
      </c>
      <c r="BL45" s="345">
        <f t="shared" si="485"/>
        <v>0</v>
      </c>
    </row>
    <row r="46" spans="1:64" x14ac:dyDescent="0.25">
      <c r="A46" s="605"/>
      <c r="B46" s="607"/>
      <c r="C46" s="325" t="s">
        <v>507</v>
      </c>
      <c r="D46" s="402" t="s">
        <v>499</v>
      </c>
      <c r="E46" s="385">
        <f>(E45-E44)/E44</f>
        <v>2.2278348354642632</v>
      </c>
      <c r="F46" s="326">
        <f t="shared" ref="F46" si="486">(F45-F44)/F44</f>
        <v>2.1251252053367522</v>
      </c>
      <c r="G46" s="326">
        <f t="shared" ref="G46" si="487">(G45-G44)/G44</f>
        <v>-1</v>
      </c>
      <c r="H46" s="326">
        <f t="shared" ref="H46" si="488">(H45-H44)/H44</f>
        <v>-1</v>
      </c>
      <c r="I46" s="326">
        <f t="shared" ref="I46" si="489">(I45-I44)/I44</f>
        <v>-1</v>
      </c>
      <c r="J46" s="326">
        <f t="shared" ref="J46" si="490">(J45-J44)/J44</f>
        <v>-1</v>
      </c>
      <c r="K46" s="326">
        <f t="shared" ref="K46" si="491">(K45-K44)/K44</f>
        <v>-1</v>
      </c>
      <c r="L46" s="326">
        <f t="shared" ref="L46" si="492">(L45-L44)/L44</f>
        <v>-1</v>
      </c>
      <c r="M46" s="326">
        <f t="shared" ref="M46" si="493">(M45-M44)/M44</f>
        <v>-1</v>
      </c>
      <c r="N46" s="326">
        <f t="shared" ref="N46" si="494">(N45-N44)/N44</f>
        <v>-1</v>
      </c>
      <c r="O46" s="326">
        <f t="shared" ref="O46" si="495">(O45-O44)/O44</f>
        <v>-1</v>
      </c>
      <c r="P46" s="333">
        <f t="shared" ref="P46" si="496">(P45-P44)/P44</f>
        <v>-1</v>
      </c>
      <c r="Q46" s="326">
        <f t="shared" ref="Q46" si="497">(Q45-Q44)/Q44</f>
        <v>-1</v>
      </c>
      <c r="R46" s="326">
        <f t="shared" ref="R46" si="498">(R45-R44)/R44</f>
        <v>-1</v>
      </c>
      <c r="S46" s="326">
        <f t="shared" ref="S46" si="499">(S45-S44)/S44</f>
        <v>-1</v>
      </c>
      <c r="T46" s="326">
        <f t="shared" ref="T46" si="500">(T45-T44)/T44</f>
        <v>-1</v>
      </c>
      <c r="U46" s="326">
        <f t="shared" ref="U46" si="501">(U45-U44)/U44</f>
        <v>-1</v>
      </c>
      <c r="V46" s="326">
        <f t="shared" ref="V46" si="502">(V45-V44)/V44</f>
        <v>-1</v>
      </c>
      <c r="W46" s="326">
        <f t="shared" ref="W46" si="503">(W45-W44)/W44</f>
        <v>-1</v>
      </c>
      <c r="X46" s="326">
        <f t="shared" ref="X46" si="504">(X45-X44)/X44</f>
        <v>-1</v>
      </c>
      <c r="Y46" s="326">
        <f t="shared" ref="Y46" si="505">(Y45-Y44)/Y44</f>
        <v>-1</v>
      </c>
      <c r="Z46" s="326">
        <f t="shared" ref="Z46" si="506">(Z45-Z44)/Z44</f>
        <v>-1</v>
      </c>
      <c r="AA46" s="326">
        <f t="shared" ref="AA46" si="507">(AA45-AA44)/AA44</f>
        <v>-1</v>
      </c>
      <c r="AB46" s="326">
        <f t="shared" ref="AB46" si="508">(AB45-AB44)/AB44</f>
        <v>-1</v>
      </c>
      <c r="AC46" s="385">
        <f t="shared" ref="AC46" si="509">(AC45-AC44)/AC44</f>
        <v>-1</v>
      </c>
      <c r="AD46" s="326">
        <f t="shared" ref="AD46" si="510">(AD45-AD44)/AD44</f>
        <v>-1</v>
      </c>
      <c r="AE46" s="326">
        <f t="shared" ref="AE46" si="511">(AE45-AE44)/AE44</f>
        <v>-1</v>
      </c>
      <c r="AF46" s="326">
        <f t="shared" ref="AF46" si="512">(AF45-AF44)/AF44</f>
        <v>-1</v>
      </c>
      <c r="AG46" s="326">
        <f t="shared" ref="AG46" si="513">(AG45-AG44)/AG44</f>
        <v>-1</v>
      </c>
      <c r="AH46" s="326">
        <f t="shared" ref="AH46" si="514">(AH45-AH44)/AH44</f>
        <v>-1</v>
      </c>
      <c r="AI46" s="326">
        <f t="shared" ref="AI46" si="515">(AI45-AI44)/AI44</f>
        <v>-1</v>
      </c>
      <c r="AJ46" s="326">
        <f t="shared" ref="AJ46" si="516">(AJ45-AJ44)/AJ44</f>
        <v>-1</v>
      </c>
      <c r="AK46" s="326">
        <f t="shared" ref="AK46" si="517">(AK45-AK44)/AK44</f>
        <v>-1</v>
      </c>
      <c r="AL46" s="326">
        <f t="shared" ref="AL46" si="518">(AL45-AL44)/AL44</f>
        <v>-1</v>
      </c>
      <c r="AM46" s="326">
        <f t="shared" ref="AM46" si="519">(AM45-AM44)/AM44</f>
        <v>-1</v>
      </c>
      <c r="AN46" s="333">
        <f t="shared" ref="AN46" si="520">(AN45-AN44)/AN44</f>
        <v>-1</v>
      </c>
      <c r="AO46" s="326">
        <f t="shared" ref="AO46" si="521">(AO45-AO44)/AO44</f>
        <v>-1</v>
      </c>
      <c r="AP46" s="326">
        <f t="shared" ref="AP46" si="522">(AP45-AP44)/AP44</f>
        <v>-1</v>
      </c>
      <c r="AQ46" s="326">
        <f t="shared" ref="AQ46" si="523">(AQ45-AQ44)/AQ44</f>
        <v>-1</v>
      </c>
      <c r="AR46" s="326">
        <f t="shared" ref="AR46" si="524">(AR45-AR44)/AR44</f>
        <v>-1</v>
      </c>
      <c r="AS46" s="326">
        <f t="shared" ref="AS46" si="525">(AS45-AS44)/AS44</f>
        <v>-1</v>
      </c>
      <c r="AT46" s="326">
        <f t="shared" ref="AT46" si="526">(AT45-AT44)/AT44</f>
        <v>-1</v>
      </c>
      <c r="AU46" s="326">
        <f t="shared" ref="AU46" si="527">(AU45-AU44)/AU44</f>
        <v>-1</v>
      </c>
      <c r="AV46" s="326">
        <f t="shared" ref="AV46" si="528">(AV45-AV44)/AV44</f>
        <v>-1</v>
      </c>
      <c r="AW46" s="326">
        <f t="shared" ref="AW46" si="529">(AW45-AW44)/AW44</f>
        <v>-1</v>
      </c>
      <c r="AX46" s="326">
        <f t="shared" ref="AX46" si="530">(AX45-AX44)/AX44</f>
        <v>-1</v>
      </c>
      <c r="AY46" s="326">
        <f t="shared" ref="AY46" si="531">(AY45-AY44)/AY44</f>
        <v>-1</v>
      </c>
      <c r="AZ46" s="326">
        <f t="shared" ref="AZ46" si="532">(AZ45-AZ44)/AZ44</f>
        <v>-1</v>
      </c>
      <c r="BA46" s="385">
        <f t="shared" ref="BA46" si="533">(BA45-BA44)/BA44</f>
        <v>-1</v>
      </c>
      <c r="BB46" s="326">
        <f t="shared" ref="BB46" si="534">(BB45-BB44)/BB44</f>
        <v>-1</v>
      </c>
      <c r="BC46" s="326">
        <f t="shared" ref="BC46" si="535">(BC45-BC44)/BC44</f>
        <v>-1</v>
      </c>
      <c r="BD46" s="326">
        <f t="shared" ref="BD46" si="536">(BD45-BD44)/BD44</f>
        <v>-1</v>
      </c>
      <c r="BE46" s="326">
        <f t="shared" ref="BE46" si="537">(BE45-BE44)/BE44</f>
        <v>-1</v>
      </c>
      <c r="BF46" s="326">
        <f t="shared" ref="BF46" si="538">(BF45-BF44)/BF44</f>
        <v>-1</v>
      </c>
      <c r="BG46" s="326">
        <f t="shared" ref="BG46" si="539">(BG45-BG44)/BG44</f>
        <v>-1</v>
      </c>
      <c r="BH46" s="326">
        <f t="shared" ref="BH46" si="540">(BH45-BH44)/BH44</f>
        <v>-1</v>
      </c>
      <c r="BI46" s="326">
        <f t="shared" ref="BI46" si="541">(BI45-BI44)/BI44</f>
        <v>-1</v>
      </c>
      <c r="BJ46" s="326">
        <f t="shared" ref="BJ46" si="542">(BJ45-BJ44)/BJ44</f>
        <v>-1</v>
      </c>
      <c r="BK46" s="326">
        <f t="shared" ref="BK46" si="543">(BK45-BK44)/BK44</f>
        <v>-1</v>
      </c>
      <c r="BL46" s="333">
        <f t="shared" ref="BL46" si="544">(BL45-BL44)/BL44</f>
        <v>-1</v>
      </c>
    </row>
    <row r="47" spans="1:64" ht="16" customHeight="1" x14ac:dyDescent="0.25">
      <c r="A47" s="605"/>
      <c r="B47" s="607"/>
      <c r="C47" s="372" t="s">
        <v>497</v>
      </c>
      <c r="D47" s="401" t="s">
        <v>56</v>
      </c>
      <c r="E47" s="396">
        <f>TURNOVER!C66</f>
        <v>-2951</v>
      </c>
      <c r="F47" s="374">
        <f>TURNOVER!D66</f>
        <v>-1351.8000000000002</v>
      </c>
      <c r="G47" s="374">
        <f>TURNOVER!E66</f>
        <v>468.19999999999982</v>
      </c>
      <c r="H47" s="374">
        <f>TURNOVER!F66</f>
        <v>-136.79999999999927</v>
      </c>
      <c r="I47" s="374">
        <f>TURNOVER!G66</f>
        <v>3296.2000000000007</v>
      </c>
      <c r="J47" s="374">
        <f>TURNOVER!H66</f>
        <v>6936.2000000000007</v>
      </c>
      <c r="K47" s="374">
        <f>TURNOVER!I66</f>
        <v>10576.2</v>
      </c>
      <c r="L47" s="374">
        <f>TURNOVER!J66</f>
        <v>11626.2</v>
      </c>
      <c r="M47" s="374">
        <f>TURNOVER!K66</f>
        <v>15559.7</v>
      </c>
      <c r="N47" s="374">
        <f>TURNOVER!L66</f>
        <v>14717.8</v>
      </c>
      <c r="O47" s="374">
        <f>TURNOVER!M66</f>
        <v>15261.400000000001</v>
      </c>
      <c r="P47" s="397">
        <f>TURNOVER!N66</f>
        <v>24700.800000000003</v>
      </c>
      <c r="Q47" s="374">
        <f>TURNOVER!O66</f>
        <v>25982.065999999999</v>
      </c>
      <c r="R47" s="374">
        <f>TURNOVER!P66</f>
        <v>27312.574820000009</v>
      </c>
      <c r="S47" s="374">
        <f>TURNOVER!Q66</f>
        <v>28694.019841400012</v>
      </c>
      <c r="T47" s="374">
        <f>TURNOVER!R66</f>
        <v>30128.149568978013</v>
      </c>
      <c r="U47" s="374">
        <f>TURNOVER!S66</f>
        <v>31616.769371030074</v>
      </c>
      <c r="V47" s="374">
        <f>TURNOVER!T66</f>
        <v>33161.743273443346</v>
      </c>
      <c r="W47" s="374">
        <f>TURNOVER!U66</f>
        <v>34764.995809354674</v>
      </c>
      <c r="X47" s="374">
        <f>TURNOVER!V66</f>
        <v>36428.513926097497</v>
      </c>
      <c r="Y47" s="374">
        <f>TURNOVER!W66</f>
        <v>38154.348951191845</v>
      </c>
      <c r="Z47" s="374">
        <f>TURNOVER!X66</f>
        <v>39944.618619185261</v>
      </c>
      <c r="AA47" s="374">
        <f>TURNOVER!Y66</f>
        <v>41801.509161207636</v>
      </c>
      <c r="AB47" s="374">
        <f>TURNOVER!Z66</f>
        <v>43727.27745915961</v>
      </c>
      <c r="AC47" s="396">
        <f>TURNOVER!AA66</f>
        <v>45724.253266512445</v>
      </c>
      <c r="AD47" s="374">
        <f>TURNOVER!AB66</f>
        <v>47794.841497757443</v>
      </c>
      <c r="AE47" s="374">
        <f>TURNOVER!AC66</f>
        <v>49941.524588604778</v>
      </c>
      <c r="AF47" s="374">
        <f>TURNOVER!AD66</f>
        <v>52166.864929095827</v>
      </c>
      <c r="AG47" s="374">
        <f>TURNOVER!AE66</f>
        <v>54473.507371858272</v>
      </c>
      <c r="AH47" s="374">
        <f>TURNOVER!AF66</f>
        <v>56864.181817801378</v>
      </c>
      <c r="AI47" s="374">
        <f>TURNOVER!AG66</f>
        <v>59341.705881618516</v>
      </c>
      <c r="AJ47" s="374">
        <f>TURNOVER!AH66</f>
        <v>61908.987639535844</v>
      </c>
      <c r="AK47" s="374">
        <f>TURNOVER!AI66</f>
        <v>64569.028461820068</v>
      </c>
      <c r="AL47" s="374">
        <f>TURNOVER!AJ66</f>
        <v>67324.925932634782</v>
      </c>
      <c r="AM47" s="374">
        <f>TURNOVER!AK66</f>
        <v>70179.876859913144</v>
      </c>
      <c r="AN47" s="397">
        <f>TURNOVER!AL66</f>
        <v>73137.180377995843</v>
      </c>
      <c r="AO47" s="374">
        <f>TURNOVER!AM66</f>
        <v>76200.241145866705</v>
      </c>
      <c r="AP47" s="374">
        <f>TURNOVER!AN66</f>
        <v>79372.572643904336</v>
      </c>
      <c r="AQ47" s="374">
        <f>TURNOVER!AO66</f>
        <v>82657.800572156309</v>
      </c>
      <c r="AR47" s="374">
        <f>TURNOVER!AP66</f>
        <v>86059.666353234556</v>
      </c>
      <c r="AS47" s="374">
        <f>TURNOVER!AQ66</f>
        <v>89582.03074302341</v>
      </c>
      <c r="AT47" s="374">
        <f>TURNOVER!AR66</f>
        <v>93228.877552489779</v>
      </c>
      <c r="AU47" s="374">
        <f>TURNOVER!AS66</f>
        <v>97004.317483983643</v>
      </c>
      <c r="AV47" s="374">
        <f>TURNOVER!AT66</f>
        <v>100912.59208552069</v>
      </c>
      <c r="AW47" s="374">
        <f>TURNOVER!AU66</f>
        <v>104958.07782664421</v>
      </c>
      <c r="AX47" s="374">
        <f>TURNOVER!AV66</f>
        <v>109145.29029957259</v>
      </c>
      <c r="AY47" s="374">
        <f>TURNOVER!AW66</f>
        <v>113478.8885494514</v>
      </c>
      <c r="AZ47" s="374">
        <f>TURNOVER!AX66</f>
        <v>117963.67953764442</v>
      </c>
      <c r="BA47" s="396">
        <f>TURNOVER!AY66</f>
        <v>122604.62274211741</v>
      </c>
      <c r="BB47" s="374">
        <f>TURNOVER!AZ66</f>
        <v>127406.83489909148</v>
      </c>
      <c r="BC47" s="374">
        <f>TURNOVER!BA66</f>
        <v>132375.59489026899</v>
      </c>
      <c r="BD47" s="374">
        <f>TURNOVER!BB66</f>
        <v>137516.34878006589</v>
      </c>
      <c r="BE47" s="374">
        <f>TURNOVER!BC66</f>
        <v>142834.71500741848</v>
      </c>
      <c r="BF47" s="374">
        <f>TURNOVER!BD66</f>
        <v>148336.48973687063</v>
      </c>
      <c r="BG47" s="374">
        <f>TURNOVER!BE66</f>
        <v>154027.65237379097</v>
      </c>
      <c r="BH47" s="374">
        <f>TURNOVER!BF66</f>
        <v>159914.37124871524</v>
      </c>
      <c r="BI47" s="374">
        <f>TURNOVER!BG66</f>
        <v>166003.00947596144</v>
      </c>
      <c r="BJ47" s="374">
        <f>TURNOVER!BH66</f>
        <v>172300.13099182074</v>
      </c>
      <c r="BK47" s="374">
        <f>TURNOVER!BI66</f>
        <v>178812.50677778741</v>
      </c>
      <c r="BL47" s="397">
        <f>TURNOVER!BJ66</f>
        <v>185547.12127445731</v>
      </c>
    </row>
    <row r="48" spans="1:64" ht="17" x14ac:dyDescent="0.25">
      <c r="A48" s="605"/>
      <c r="B48" s="607"/>
      <c r="C48" s="373" t="s">
        <v>498</v>
      </c>
      <c r="D48" s="402" t="s">
        <v>56</v>
      </c>
      <c r="E48" s="388">
        <f>E42-E45</f>
        <v>44600</v>
      </c>
      <c r="F48" s="344">
        <f t="shared" ref="F48:BL48" si="545">F42-F45</f>
        <v>-12600</v>
      </c>
      <c r="G48" s="344">
        <f t="shared" si="545"/>
        <v>3000</v>
      </c>
      <c r="H48" s="344">
        <f t="shared" si="545"/>
        <v>0</v>
      </c>
      <c r="I48" s="344">
        <f t="shared" si="545"/>
        <v>0</v>
      </c>
      <c r="J48" s="344">
        <f t="shared" si="545"/>
        <v>0</v>
      </c>
      <c r="K48" s="344">
        <f t="shared" si="545"/>
        <v>0</v>
      </c>
      <c r="L48" s="344">
        <f t="shared" si="545"/>
        <v>0</v>
      </c>
      <c r="M48" s="344">
        <f t="shared" si="545"/>
        <v>0</v>
      </c>
      <c r="N48" s="344">
        <f t="shared" si="545"/>
        <v>0</v>
      </c>
      <c r="O48" s="344">
        <f t="shared" si="545"/>
        <v>0</v>
      </c>
      <c r="P48" s="345">
        <f t="shared" si="545"/>
        <v>0</v>
      </c>
      <c r="Q48" s="344">
        <f t="shared" si="545"/>
        <v>0</v>
      </c>
      <c r="R48" s="344">
        <f t="shared" si="545"/>
        <v>0</v>
      </c>
      <c r="S48" s="344">
        <f t="shared" si="545"/>
        <v>0</v>
      </c>
      <c r="T48" s="344">
        <f t="shared" si="545"/>
        <v>0</v>
      </c>
      <c r="U48" s="344">
        <f t="shared" si="545"/>
        <v>0</v>
      </c>
      <c r="V48" s="344">
        <f t="shared" si="545"/>
        <v>0</v>
      </c>
      <c r="W48" s="344">
        <f t="shared" si="545"/>
        <v>0</v>
      </c>
      <c r="X48" s="344">
        <f t="shared" si="545"/>
        <v>0</v>
      </c>
      <c r="Y48" s="344">
        <f t="shared" si="545"/>
        <v>0</v>
      </c>
      <c r="Z48" s="344">
        <f t="shared" si="545"/>
        <v>0</v>
      </c>
      <c r="AA48" s="344">
        <f t="shared" si="545"/>
        <v>0</v>
      </c>
      <c r="AB48" s="344">
        <f t="shared" si="545"/>
        <v>0</v>
      </c>
      <c r="AC48" s="388">
        <f t="shared" si="545"/>
        <v>0</v>
      </c>
      <c r="AD48" s="344">
        <f t="shared" si="545"/>
        <v>0</v>
      </c>
      <c r="AE48" s="344">
        <f t="shared" si="545"/>
        <v>0</v>
      </c>
      <c r="AF48" s="344">
        <f t="shared" si="545"/>
        <v>0</v>
      </c>
      <c r="AG48" s="344">
        <f t="shared" si="545"/>
        <v>0</v>
      </c>
      <c r="AH48" s="344">
        <f t="shared" si="545"/>
        <v>0</v>
      </c>
      <c r="AI48" s="344">
        <f t="shared" si="545"/>
        <v>0</v>
      </c>
      <c r="AJ48" s="344">
        <f t="shared" si="545"/>
        <v>0</v>
      </c>
      <c r="AK48" s="344">
        <f t="shared" si="545"/>
        <v>0</v>
      </c>
      <c r="AL48" s="344">
        <f t="shared" si="545"/>
        <v>0</v>
      </c>
      <c r="AM48" s="344">
        <f t="shared" si="545"/>
        <v>0</v>
      </c>
      <c r="AN48" s="345">
        <f t="shared" si="545"/>
        <v>0</v>
      </c>
      <c r="AO48" s="344">
        <f t="shared" si="545"/>
        <v>0</v>
      </c>
      <c r="AP48" s="344">
        <f t="shared" si="545"/>
        <v>0</v>
      </c>
      <c r="AQ48" s="344">
        <f t="shared" si="545"/>
        <v>0</v>
      </c>
      <c r="AR48" s="344">
        <f t="shared" si="545"/>
        <v>0</v>
      </c>
      <c r="AS48" s="344">
        <f t="shared" si="545"/>
        <v>0</v>
      </c>
      <c r="AT48" s="344">
        <f t="shared" si="545"/>
        <v>0</v>
      </c>
      <c r="AU48" s="344">
        <f t="shared" si="545"/>
        <v>0</v>
      </c>
      <c r="AV48" s="344">
        <f t="shared" si="545"/>
        <v>0</v>
      </c>
      <c r="AW48" s="344">
        <f t="shared" si="545"/>
        <v>0</v>
      </c>
      <c r="AX48" s="344">
        <f t="shared" si="545"/>
        <v>0</v>
      </c>
      <c r="AY48" s="344">
        <f t="shared" si="545"/>
        <v>0</v>
      </c>
      <c r="AZ48" s="344">
        <f t="shared" si="545"/>
        <v>0</v>
      </c>
      <c r="BA48" s="388">
        <f t="shared" si="545"/>
        <v>0</v>
      </c>
      <c r="BB48" s="344">
        <f t="shared" si="545"/>
        <v>0</v>
      </c>
      <c r="BC48" s="344">
        <f t="shared" si="545"/>
        <v>0</v>
      </c>
      <c r="BD48" s="344">
        <f t="shared" si="545"/>
        <v>0</v>
      </c>
      <c r="BE48" s="344">
        <f t="shared" si="545"/>
        <v>0</v>
      </c>
      <c r="BF48" s="344">
        <f t="shared" si="545"/>
        <v>0</v>
      </c>
      <c r="BG48" s="344">
        <f t="shared" si="545"/>
        <v>0</v>
      </c>
      <c r="BH48" s="344">
        <f t="shared" si="545"/>
        <v>0</v>
      </c>
      <c r="BI48" s="344">
        <f t="shared" si="545"/>
        <v>0</v>
      </c>
      <c r="BJ48" s="344">
        <f t="shared" si="545"/>
        <v>0</v>
      </c>
      <c r="BK48" s="344">
        <f t="shared" si="545"/>
        <v>0</v>
      </c>
      <c r="BL48" s="345">
        <f t="shared" si="545"/>
        <v>0</v>
      </c>
    </row>
    <row r="49" spans="1:64" ht="17" thickBot="1" x14ac:dyDescent="0.3">
      <c r="A49" s="605"/>
      <c r="B49" s="607"/>
      <c r="C49" s="411" t="s">
        <v>507</v>
      </c>
      <c r="D49" s="402" t="s">
        <v>499</v>
      </c>
      <c r="E49" s="417">
        <f>E48-E47</f>
        <v>47551</v>
      </c>
      <c r="F49" s="418">
        <f t="shared" ref="F49:BL49" si="546">F48-F47</f>
        <v>-11248.2</v>
      </c>
      <c r="G49" s="418">
        <f t="shared" si="546"/>
        <v>2531.8000000000002</v>
      </c>
      <c r="H49" s="418">
        <f t="shared" si="546"/>
        <v>136.79999999999927</v>
      </c>
      <c r="I49" s="418">
        <f t="shared" si="546"/>
        <v>-3296.2000000000007</v>
      </c>
      <c r="J49" s="418">
        <f t="shared" si="546"/>
        <v>-6936.2000000000007</v>
      </c>
      <c r="K49" s="418">
        <f t="shared" si="546"/>
        <v>-10576.2</v>
      </c>
      <c r="L49" s="418">
        <f t="shared" si="546"/>
        <v>-11626.2</v>
      </c>
      <c r="M49" s="418">
        <f t="shared" si="546"/>
        <v>-15559.7</v>
      </c>
      <c r="N49" s="418">
        <f t="shared" si="546"/>
        <v>-14717.8</v>
      </c>
      <c r="O49" s="418">
        <f t="shared" si="546"/>
        <v>-15261.400000000001</v>
      </c>
      <c r="P49" s="419">
        <f t="shared" si="546"/>
        <v>-24700.800000000003</v>
      </c>
      <c r="Q49" s="418">
        <f t="shared" si="546"/>
        <v>-25982.065999999999</v>
      </c>
      <c r="R49" s="418">
        <f t="shared" si="546"/>
        <v>-27312.574820000009</v>
      </c>
      <c r="S49" s="418">
        <f t="shared" si="546"/>
        <v>-28694.019841400012</v>
      </c>
      <c r="T49" s="418">
        <f t="shared" si="546"/>
        <v>-30128.149568978013</v>
      </c>
      <c r="U49" s="418">
        <f t="shared" si="546"/>
        <v>-31616.769371030074</v>
      </c>
      <c r="V49" s="418">
        <f t="shared" si="546"/>
        <v>-33161.743273443346</v>
      </c>
      <c r="W49" s="418">
        <f t="shared" si="546"/>
        <v>-34764.995809354674</v>
      </c>
      <c r="X49" s="418">
        <f t="shared" si="546"/>
        <v>-36428.513926097497</v>
      </c>
      <c r="Y49" s="418">
        <f t="shared" si="546"/>
        <v>-38154.348951191845</v>
      </c>
      <c r="Z49" s="418">
        <f t="shared" si="546"/>
        <v>-39944.618619185261</v>
      </c>
      <c r="AA49" s="418">
        <f t="shared" si="546"/>
        <v>-41801.509161207636</v>
      </c>
      <c r="AB49" s="418">
        <f t="shared" si="546"/>
        <v>-43727.27745915961</v>
      </c>
      <c r="AC49" s="417">
        <f t="shared" si="546"/>
        <v>-45724.253266512445</v>
      </c>
      <c r="AD49" s="418">
        <f t="shared" si="546"/>
        <v>-47794.841497757443</v>
      </c>
      <c r="AE49" s="418">
        <f t="shared" si="546"/>
        <v>-49941.524588604778</v>
      </c>
      <c r="AF49" s="418">
        <f t="shared" si="546"/>
        <v>-52166.864929095827</v>
      </c>
      <c r="AG49" s="418">
        <f t="shared" si="546"/>
        <v>-54473.507371858272</v>
      </c>
      <c r="AH49" s="418">
        <f t="shared" si="546"/>
        <v>-56864.181817801378</v>
      </c>
      <c r="AI49" s="418">
        <f t="shared" si="546"/>
        <v>-59341.705881618516</v>
      </c>
      <c r="AJ49" s="418">
        <f t="shared" si="546"/>
        <v>-61908.987639535844</v>
      </c>
      <c r="AK49" s="418">
        <f t="shared" si="546"/>
        <v>-64569.028461820068</v>
      </c>
      <c r="AL49" s="418">
        <f t="shared" si="546"/>
        <v>-67324.925932634782</v>
      </c>
      <c r="AM49" s="418">
        <f t="shared" si="546"/>
        <v>-70179.876859913144</v>
      </c>
      <c r="AN49" s="419">
        <f t="shared" si="546"/>
        <v>-73137.180377995843</v>
      </c>
      <c r="AO49" s="418">
        <f t="shared" si="546"/>
        <v>-76200.241145866705</v>
      </c>
      <c r="AP49" s="418">
        <f t="shared" si="546"/>
        <v>-79372.572643904336</v>
      </c>
      <c r="AQ49" s="418">
        <f t="shared" si="546"/>
        <v>-82657.800572156309</v>
      </c>
      <c r="AR49" s="418">
        <f t="shared" si="546"/>
        <v>-86059.666353234556</v>
      </c>
      <c r="AS49" s="418">
        <f t="shared" si="546"/>
        <v>-89582.03074302341</v>
      </c>
      <c r="AT49" s="418">
        <f t="shared" si="546"/>
        <v>-93228.877552489779</v>
      </c>
      <c r="AU49" s="418">
        <f t="shared" si="546"/>
        <v>-97004.317483983643</v>
      </c>
      <c r="AV49" s="418">
        <f t="shared" si="546"/>
        <v>-100912.59208552069</v>
      </c>
      <c r="AW49" s="418">
        <f t="shared" si="546"/>
        <v>-104958.07782664421</v>
      </c>
      <c r="AX49" s="418">
        <f t="shared" si="546"/>
        <v>-109145.29029957259</v>
      </c>
      <c r="AY49" s="418">
        <f t="shared" si="546"/>
        <v>-113478.8885494514</v>
      </c>
      <c r="AZ49" s="418">
        <f t="shared" si="546"/>
        <v>-117963.67953764442</v>
      </c>
      <c r="BA49" s="417">
        <f t="shared" si="546"/>
        <v>-122604.62274211741</v>
      </c>
      <c r="BB49" s="418">
        <f t="shared" si="546"/>
        <v>-127406.83489909148</v>
      </c>
      <c r="BC49" s="418">
        <f t="shared" si="546"/>
        <v>-132375.59489026899</v>
      </c>
      <c r="BD49" s="418">
        <f t="shared" si="546"/>
        <v>-137516.34878006589</v>
      </c>
      <c r="BE49" s="418">
        <f t="shared" si="546"/>
        <v>-142834.71500741848</v>
      </c>
      <c r="BF49" s="418">
        <f t="shared" si="546"/>
        <v>-148336.48973687063</v>
      </c>
      <c r="BG49" s="418">
        <f t="shared" si="546"/>
        <v>-154027.65237379097</v>
      </c>
      <c r="BH49" s="418">
        <f t="shared" si="546"/>
        <v>-159914.37124871524</v>
      </c>
      <c r="BI49" s="418">
        <f t="shared" si="546"/>
        <v>-166003.00947596144</v>
      </c>
      <c r="BJ49" s="418">
        <f t="shared" si="546"/>
        <v>-172300.13099182074</v>
      </c>
      <c r="BK49" s="418">
        <f t="shared" si="546"/>
        <v>-178812.50677778741</v>
      </c>
      <c r="BL49" s="419">
        <f t="shared" si="546"/>
        <v>-185547.12127445731</v>
      </c>
    </row>
    <row r="50" spans="1:64" ht="17" x14ac:dyDescent="0.25">
      <c r="A50" s="608">
        <v>5</v>
      </c>
      <c r="B50" s="606" t="str">
        <f>Advertising!A1</f>
        <v>BM3 : Advertising</v>
      </c>
      <c r="C50" s="420" t="s">
        <v>497</v>
      </c>
      <c r="D50" s="405" t="s">
        <v>518</v>
      </c>
      <c r="E50" s="421">
        <f>Advertising!B16</f>
        <v>120</v>
      </c>
      <c r="F50" s="329"/>
      <c r="G50" s="329"/>
      <c r="H50" s="329"/>
      <c r="I50" s="329"/>
      <c r="J50" s="329"/>
      <c r="K50" s="329"/>
      <c r="L50" s="329"/>
      <c r="M50" s="329"/>
      <c r="N50" s="329"/>
      <c r="O50" s="329"/>
      <c r="P50" s="422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423"/>
      <c r="AD50" s="329"/>
      <c r="AE50" s="329"/>
      <c r="AF50" s="329"/>
      <c r="AG50" s="329"/>
      <c r="AH50" s="329"/>
      <c r="AI50" s="329"/>
      <c r="AJ50" s="329"/>
      <c r="AK50" s="329"/>
      <c r="AL50" s="329"/>
      <c r="AM50" s="329"/>
      <c r="AN50" s="422"/>
      <c r="AO50" s="329"/>
      <c r="AP50" s="329"/>
      <c r="AQ50" s="329"/>
      <c r="AR50" s="329"/>
      <c r="AS50" s="329"/>
      <c r="AT50" s="329"/>
      <c r="AU50" s="329"/>
      <c r="AV50" s="329"/>
      <c r="AW50" s="329"/>
      <c r="AX50" s="329"/>
      <c r="AY50" s="329"/>
      <c r="AZ50" s="329"/>
      <c r="BA50" s="423"/>
      <c r="BB50" s="329"/>
      <c r="BC50" s="329"/>
      <c r="BD50" s="329"/>
      <c r="BE50" s="329"/>
      <c r="BF50" s="329"/>
      <c r="BG50" s="329"/>
      <c r="BH50" s="329"/>
      <c r="BI50" s="329"/>
      <c r="BJ50" s="329"/>
      <c r="BK50" s="329"/>
      <c r="BL50" s="422"/>
    </row>
    <row r="51" spans="1:64" ht="17" x14ac:dyDescent="0.25">
      <c r="A51" s="609"/>
      <c r="B51" s="607"/>
      <c r="C51" s="373" t="s">
        <v>498</v>
      </c>
      <c r="D51" s="402" t="s">
        <v>518</v>
      </c>
      <c r="E51" s="409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352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399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352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399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352"/>
    </row>
    <row r="52" spans="1:64" x14ac:dyDescent="0.25">
      <c r="A52" s="609"/>
      <c r="B52" s="607"/>
      <c r="C52" s="370" t="s">
        <v>507</v>
      </c>
      <c r="D52" s="403" t="s">
        <v>499</v>
      </c>
      <c r="E52" s="410">
        <f>E51-E50</f>
        <v>-120</v>
      </c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352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399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352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399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352"/>
    </row>
    <row r="53" spans="1:64" ht="17" x14ac:dyDescent="0.25">
      <c r="A53" s="609"/>
      <c r="B53" s="607"/>
      <c r="C53" s="372" t="s">
        <v>497</v>
      </c>
      <c r="D53" s="401" t="s">
        <v>519</v>
      </c>
      <c r="E53" s="408">
        <f>Advertising!B13</f>
        <v>13</v>
      </c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352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399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352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399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352"/>
    </row>
    <row r="54" spans="1:64" ht="17" x14ac:dyDescent="0.25">
      <c r="A54" s="609"/>
      <c r="B54" s="607"/>
      <c r="C54" s="373" t="s">
        <v>498</v>
      </c>
      <c r="D54" s="402" t="s">
        <v>519</v>
      </c>
      <c r="E54" s="409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352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399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352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399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352"/>
    </row>
    <row r="55" spans="1:64" x14ac:dyDescent="0.25">
      <c r="A55" s="609"/>
      <c r="B55" s="607"/>
      <c r="C55" s="370" t="s">
        <v>507</v>
      </c>
      <c r="D55" s="403" t="s">
        <v>499</v>
      </c>
      <c r="E55" s="410">
        <f>E54-E53</f>
        <v>-13</v>
      </c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352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399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352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399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352"/>
    </row>
    <row r="56" spans="1:64" ht="17" x14ac:dyDescent="0.25">
      <c r="A56" s="609"/>
      <c r="B56" s="607"/>
      <c r="C56" s="372" t="s">
        <v>497</v>
      </c>
      <c r="D56" s="401" t="s">
        <v>521</v>
      </c>
      <c r="E56" s="396">
        <f>Advertising!F13</f>
        <v>89160</v>
      </c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352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399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352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399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352"/>
    </row>
    <row r="57" spans="1:64" ht="17" x14ac:dyDescent="0.25">
      <c r="A57" s="609"/>
      <c r="B57" s="607"/>
      <c r="C57" s="373" t="s">
        <v>498</v>
      </c>
      <c r="D57" s="402" t="s">
        <v>519</v>
      </c>
      <c r="E57" s="388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352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399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352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399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352"/>
    </row>
    <row r="58" spans="1:64" x14ac:dyDescent="0.25">
      <c r="A58" s="609"/>
      <c r="B58" s="607"/>
      <c r="C58" s="370" t="s">
        <v>507</v>
      </c>
      <c r="D58" s="403" t="s">
        <v>499</v>
      </c>
      <c r="E58" s="413">
        <f>E57-E56</f>
        <v>-89160</v>
      </c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352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399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352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399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352"/>
    </row>
    <row r="59" spans="1:64" ht="17" x14ac:dyDescent="0.25">
      <c r="A59" s="609"/>
      <c r="B59" s="607"/>
      <c r="C59" s="372" t="s">
        <v>497</v>
      </c>
      <c r="D59" s="401" t="s">
        <v>520</v>
      </c>
      <c r="E59" s="408">
        <f>Advertising!B19</f>
        <v>60</v>
      </c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352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399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352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399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352"/>
    </row>
    <row r="60" spans="1:64" ht="17" x14ac:dyDescent="0.25">
      <c r="A60" s="609"/>
      <c r="B60" s="607"/>
      <c r="C60" s="373" t="s">
        <v>498</v>
      </c>
      <c r="D60" s="402" t="s">
        <v>520</v>
      </c>
      <c r="E60" s="409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352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399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352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399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352"/>
    </row>
    <row r="61" spans="1:64" x14ac:dyDescent="0.25">
      <c r="A61" s="609"/>
      <c r="B61" s="607"/>
      <c r="C61" s="370" t="s">
        <v>507</v>
      </c>
      <c r="D61" s="403" t="s">
        <v>499</v>
      </c>
      <c r="E61" s="410">
        <f>E60-E59</f>
        <v>-60</v>
      </c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352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399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352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399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352"/>
    </row>
    <row r="62" spans="1:64" ht="17" x14ac:dyDescent="0.25">
      <c r="A62" s="609"/>
      <c r="B62" s="607"/>
      <c r="C62" s="372" t="s">
        <v>497</v>
      </c>
      <c r="D62" s="401" t="s">
        <v>522</v>
      </c>
      <c r="E62" s="408">
        <f>Advertising!M13</f>
        <v>19770</v>
      </c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352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399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352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399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352"/>
    </row>
    <row r="63" spans="1:64" ht="17" x14ac:dyDescent="0.25">
      <c r="A63" s="609"/>
      <c r="B63" s="607"/>
      <c r="C63" s="373" t="s">
        <v>498</v>
      </c>
      <c r="D63" s="402" t="s">
        <v>522</v>
      </c>
      <c r="E63" s="409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352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399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352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399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352"/>
    </row>
    <row r="64" spans="1:64" x14ac:dyDescent="0.25">
      <c r="A64" s="609"/>
      <c r="B64" s="607"/>
      <c r="C64" s="370" t="s">
        <v>507</v>
      </c>
      <c r="D64" s="403" t="s">
        <v>499</v>
      </c>
      <c r="E64" s="410">
        <f>E63-E62</f>
        <v>-19770</v>
      </c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352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399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352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399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352"/>
    </row>
    <row r="65" spans="1:64" ht="17" x14ac:dyDescent="0.25">
      <c r="A65" s="609"/>
      <c r="B65" s="607"/>
      <c r="C65" s="372" t="s">
        <v>497</v>
      </c>
      <c r="D65" s="401" t="str">
        <f>Advertising!A77</f>
        <v>N° of months before 1st revenues</v>
      </c>
      <c r="E65" s="408">
        <f>Advertising!B77</f>
        <v>6</v>
      </c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352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399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352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399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352"/>
    </row>
    <row r="66" spans="1:64" ht="17" x14ac:dyDescent="0.25">
      <c r="A66" s="609"/>
      <c r="B66" s="607"/>
      <c r="C66" s="373" t="s">
        <v>498</v>
      </c>
      <c r="D66" s="402" t="str">
        <f>D65</f>
        <v>N° of months before 1st revenues</v>
      </c>
      <c r="E66" s="409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352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399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352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399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352"/>
    </row>
    <row r="67" spans="1:64" x14ac:dyDescent="0.25">
      <c r="A67" s="609"/>
      <c r="B67" s="607"/>
      <c r="C67" s="370" t="s">
        <v>507</v>
      </c>
      <c r="D67" s="403" t="s">
        <v>499</v>
      </c>
      <c r="E67" s="410">
        <f>E66-E65</f>
        <v>-6</v>
      </c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352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399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352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399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352"/>
    </row>
    <row r="68" spans="1:64" ht="17" x14ac:dyDescent="0.25">
      <c r="A68" s="609"/>
      <c r="B68" s="607"/>
      <c r="C68" s="372" t="s">
        <v>497</v>
      </c>
      <c r="D68" s="401" t="str">
        <f>Advertising!A78</f>
        <v>N° of months before breakeven</v>
      </c>
      <c r="E68" s="408">
        <f>Advertising!B78</f>
        <v>7</v>
      </c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352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399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352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399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352"/>
    </row>
    <row r="69" spans="1:64" ht="17" x14ac:dyDescent="0.25">
      <c r="A69" s="609"/>
      <c r="B69" s="607"/>
      <c r="C69" s="373" t="s">
        <v>498</v>
      </c>
      <c r="D69" s="402" t="str">
        <f>D68</f>
        <v>N° of months before breakeven</v>
      </c>
      <c r="E69" s="409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352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399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352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399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352"/>
    </row>
    <row r="70" spans="1:64" x14ac:dyDescent="0.25">
      <c r="A70" s="609"/>
      <c r="B70" s="607"/>
      <c r="C70" s="370" t="s">
        <v>507</v>
      </c>
      <c r="D70" s="403" t="s">
        <v>499</v>
      </c>
      <c r="E70" s="394">
        <f>E69-E68</f>
        <v>-7</v>
      </c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352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399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352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399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352"/>
    </row>
    <row r="71" spans="1:64" ht="17" x14ac:dyDescent="0.25">
      <c r="A71" s="609"/>
      <c r="B71" s="607"/>
      <c r="C71" s="372" t="s">
        <v>497</v>
      </c>
      <c r="D71" s="402" t="s">
        <v>523</v>
      </c>
      <c r="E71" s="426" t="e">
        <f>HLOOKUP(E2,Advertising!$B$35:$AU$38,3)</f>
        <v>#N/A</v>
      </c>
      <c r="F71" s="367" t="e">
        <f>HLOOKUP(F2,Advertising!$B$35:$AU$38,3)</f>
        <v>#N/A</v>
      </c>
      <c r="G71" s="367" t="e">
        <f>HLOOKUP(G2,Advertising!$B$35:$AU$38,3)</f>
        <v>#N/A</v>
      </c>
      <c r="H71" s="367" t="e">
        <f>HLOOKUP(H2,Advertising!$B$35:$AU$38,3)</f>
        <v>#N/A</v>
      </c>
      <c r="I71" s="367" t="e">
        <f>HLOOKUP(I2,Advertising!$B$35:$AU$38,3)</f>
        <v>#N/A</v>
      </c>
      <c r="J71" s="367" t="e">
        <f>HLOOKUP(J2,Advertising!$B$35:$AU$38,3)</f>
        <v>#N/A</v>
      </c>
      <c r="K71" s="367" t="e">
        <f>HLOOKUP(K2,Advertising!$B$35:$AU$38,3)</f>
        <v>#N/A</v>
      </c>
      <c r="L71" s="367" t="e">
        <f>HLOOKUP(L2,Advertising!$B$35:$AU$38,3)</f>
        <v>#N/A</v>
      </c>
      <c r="M71" s="367" t="e">
        <f>HLOOKUP(M2,Advertising!$B$35:$AU$38,3)</f>
        <v>#N/A</v>
      </c>
      <c r="N71" s="367" t="e">
        <f>HLOOKUP(N2,Advertising!$B$35:$AU$38,3)</f>
        <v>#N/A</v>
      </c>
      <c r="O71" s="367" t="e">
        <f>HLOOKUP(O2,Advertising!$B$35:$AU$38,3)</f>
        <v>#N/A</v>
      </c>
      <c r="P71" s="380" t="e">
        <f>HLOOKUP(P2,Advertising!$B$35:$AU$38,3)</f>
        <v>#N/A</v>
      </c>
      <c r="Q71" s="367" t="e">
        <f>HLOOKUP(Q2,Advertising!$B$35:$AU$38,3)</f>
        <v>#N/A</v>
      </c>
      <c r="R71" s="367" t="e">
        <f>HLOOKUP(R2,Advertising!$B$35:$AU$38,3)</f>
        <v>#N/A</v>
      </c>
      <c r="S71" s="367" t="e">
        <f>HLOOKUP(S2,Advertising!$B$35:$AU$38,3)</f>
        <v>#N/A</v>
      </c>
      <c r="T71" s="367">
        <f>HLOOKUP(T2,Advertising!$B$35:$AU$38,3)</f>
        <v>1.6666666666666666E-2</v>
      </c>
      <c r="U71" s="367">
        <f>HLOOKUP(U2,Advertising!$B$35:$AU$38,3)</f>
        <v>1.6666666666666666E-2</v>
      </c>
      <c r="V71" s="367">
        <f>HLOOKUP(V2,Advertising!$B$35:$AU$38,3)</f>
        <v>1.6666666666666666E-2</v>
      </c>
      <c r="W71" s="367">
        <f>HLOOKUP(W2,Advertising!$B$35:$AU$38,3)</f>
        <v>1.6666666666666666E-2</v>
      </c>
      <c r="X71" s="367">
        <f>HLOOKUP(X2,Advertising!$B$35:$AU$38,3)</f>
        <v>1.6666666666666666E-2</v>
      </c>
      <c r="Y71" s="367">
        <f>HLOOKUP(Y2,Advertising!$B$35:$AU$38,3)</f>
        <v>1.6666666666666666E-2</v>
      </c>
      <c r="Z71" s="367">
        <f>HLOOKUP(Z2,Advertising!$B$35:$AU$38,3)</f>
        <v>1.6666666666666666E-2</v>
      </c>
      <c r="AA71" s="367">
        <f>HLOOKUP(AA2,Advertising!$B$35:$AU$38,3)</f>
        <v>1.6666666666666666E-2</v>
      </c>
      <c r="AB71" s="367">
        <f>HLOOKUP(AB2,Advertising!$B$35:$AU$38,3)</f>
        <v>1.6666666666666666E-2</v>
      </c>
      <c r="AC71" s="379">
        <f>HLOOKUP(AC2,Advertising!$B$35:$AU$38,3)</f>
        <v>1.6666666666666666E-2</v>
      </c>
      <c r="AD71" s="367">
        <f>HLOOKUP(AD2,Advertising!$B$35:$AU$38,3)</f>
        <v>1.6666666666666666E-2</v>
      </c>
      <c r="AE71" s="367">
        <f>HLOOKUP(AE2,Advertising!$B$35:$AU$38,3)</f>
        <v>1.6666666666666666E-2</v>
      </c>
      <c r="AF71" s="367">
        <f>HLOOKUP(AF2,Advertising!$B$35:$AU$38,3)</f>
        <v>1.6666666666666666E-2</v>
      </c>
      <c r="AG71" s="367">
        <f>HLOOKUP(AG2,Advertising!$B$35:$AU$38,3)</f>
        <v>1.2499999999999999E-2</v>
      </c>
      <c r="AH71" s="367">
        <f>HLOOKUP(AH2,Advertising!$B$35:$AU$38,3)</f>
        <v>1.2499999999999999E-2</v>
      </c>
      <c r="AI71" s="367">
        <f>HLOOKUP(AI2,Advertising!$B$35:$AU$38,3)</f>
        <v>1.2499999999999999E-2</v>
      </c>
      <c r="AJ71" s="367">
        <f>HLOOKUP(AJ2,Advertising!$B$35:$AU$38,3)</f>
        <v>1.2499999999999999E-2</v>
      </c>
      <c r="AK71" s="367">
        <f>HLOOKUP(AK2,Advertising!$B$35:$AU$38,3)</f>
        <v>1.2499999999999999E-2</v>
      </c>
      <c r="AL71" s="367">
        <f>HLOOKUP(AL2,Advertising!$B$35:$AU$38,3)</f>
        <v>1.2499999999999999E-2</v>
      </c>
      <c r="AM71" s="367">
        <f>HLOOKUP(AM2,Advertising!$B$35:$AU$38,3)</f>
        <v>1.2499999999999999E-2</v>
      </c>
      <c r="AN71" s="380">
        <f>HLOOKUP(AN2,Advertising!$B$35:$AU$38,3)</f>
        <v>1.2499999999999999E-2</v>
      </c>
      <c r="AO71" s="367">
        <f>HLOOKUP(AO2,Advertising!$B$35:$AU$38,3)</f>
        <v>1.2499999999999999E-2</v>
      </c>
      <c r="AP71" s="367">
        <f>HLOOKUP(AP2,Advertising!$B$35:$AU$38,3)</f>
        <v>1.2499999999999999E-2</v>
      </c>
      <c r="AQ71" s="367">
        <f>HLOOKUP(AQ2,Advertising!$B$35:$AU$38,3)</f>
        <v>1.2499999999999999E-2</v>
      </c>
      <c r="AR71" s="367">
        <f>HLOOKUP(AR2,Advertising!$B$35:$AU$38,3)</f>
        <v>1.2499999999999999E-2</v>
      </c>
      <c r="AS71" s="367">
        <f>HLOOKUP(AS2,Advertising!$B$35:$AU$38,3)</f>
        <v>8.3333333333333332E-3</v>
      </c>
      <c r="AT71" s="367">
        <f>HLOOKUP(AT2,Advertising!$B$35:$AU$38,3)</f>
        <v>8.3333333333333332E-3</v>
      </c>
      <c r="AU71" s="367">
        <f>HLOOKUP(AU2,Advertising!$B$35:$AU$38,3)</f>
        <v>8.3333333333333332E-3</v>
      </c>
      <c r="AV71" s="367">
        <f>HLOOKUP(AV2,Advertising!$B$35:$AU$38,3)</f>
        <v>8.3333333333333332E-3</v>
      </c>
      <c r="AW71" s="367">
        <f>HLOOKUP(AW2,Advertising!$B$35:$AU$38,3)</f>
        <v>8.3333333333333332E-3</v>
      </c>
      <c r="AX71" s="367">
        <f>HLOOKUP(AX2,Advertising!$B$35:$AU$38,3)</f>
        <v>8.3333333333333332E-3</v>
      </c>
      <c r="AY71" s="367">
        <f>HLOOKUP(AY2,Advertising!$B$35:$AU$38,3)</f>
        <v>8.3333333333333332E-3</v>
      </c>
      <c r="AZ71" s="367">
        <f>HLOOKUP(AZ2,Advertising!$B$35:$AU$38,3)</f>
        <v>8.3333333333333332E-3</v>
      </c>
      <c r="BA71" s="379">
        <f>HLOOKUP(BA2,Advertising!$B$35:$AU$38,3)</f>
        <v>8.3333333333333332E-3</v>
      </c>
      <c r="BB71" s="367">
        <f>HLOOKUP(BB2,Advertising!$B$35:$AU$38,3)</f>
        <v>8.3333333333333332E-3</v>
      </c>
      <c r="BC71" s="367">
        <f>HLOOKUP(BC2,Advertising!$B$35:$AU$38,3)</f>
        <v>8.3333333333333332E-3</v>
      </c>
      <c r="BD71" s="367">
        <f>HLOOKUP(BD2,Advertising!$B$35:$AU$38,3)</f>
        <v>8.3333333333333332E-3</v>
      </c>
      <c r="BE71" s="367">
        <f>HLOOKUP(BE2,Advertising!$B$35:$AU$38,3)</f>
        <v>6.6666666666666671E-3</v>
      </c>
      <c r="BF71" s="367">
        <f>HLOOKUP(BF2,Advertising!$B$35:$AU$38,3)</f>
        <v>6.6666666666666671E-3</v>
      </c>
      <c r="BG71" s="367">
        <f>HLOOKUP(BG2,Advertising!$B$35:$AU$38,3)</f>
        <v>6.6666666666666671E-3</v>
      </c>
      <c r="BH71" s="367">
        <f>HLOOKUP(BH2,Advertising!$B$35:$AU$38,3)</f>
        <v>6.6666666666666671E-3</v>
      </c>
      <c r="BI71" s="367">
        <f>HLOOKUP(BI2,Advertising!$B$35:$AU$38,3)</f>
        <v>6.6666666666666671E-3</v>
      </c>
      <c r="BJ71" s="367">
        <f>HLOOKUP(BJ2,Advertising!$B$35:$AU$38,3)</f>
        <v>6.6666666666666671E-3</v>
      </c>
      <c r="BK71" s="367">
        <f>HLOOKUP(BK2,Advertising!$B$35:$AU$38,3)</f>
        <v>6.6666666666666671E-3</v>
      </c>
      <c r="BL71" s="380">
        <f>HLOOKUP(BL2,Advertising!$B$35:$AU$38,3)</f>
        <v>6.6666666666666671E-3</v>
      </c>
    </row>
    <row r="72" spans="1:64" ht="17" x14ac:dyDescent="0.25">
      <c r="A72" s="609"/>
      <c r="B72" s="607"/>
      <c r="C72" s="343" t="s">
        <v>498</v>
      </c>
      <c r="D72" s="402" t="s">
        <v>523</v>
      </c>
      <c r="E72" s="427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6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95"/>
      <c r="AD72" s="355"/>
      <c r="AE72" s="355"/>
      <c r="AF72" s="355"/>
      <c r="AG72" s="355"/>
      <c r="AH72" s="355"/>
      <c r="AI72" s="355"/>
      <c r="AJ72" s="355"/>
      <c r="AK72" s="355"/>
      <c r="AL72" s="355"/>
      <c r="AM72" s="355"/>
      <c r="AN72" s="356"/>
      <c r="AO72" s="355"/>
      <c r="AP72" s="355"/>
      <c r="AQ72" s="355"/>
      <c r="AR72" s="355"/>
      <c r="AS72" s="355"/>
      <c r="AT72" s="355"/>
      <c r="AU72" s="355"/>
      <c r="AV72" s="355"/>
      <c r="AW72" s="355"/>
      <c r="AX72" s="355"/>
      <c r="AY72" s="355"/>
      <c r="AZ72" s="355"/>
      <c r="BA72" s="395"/>
      <c r="BB72" s="355"/>
      <c r="BC72" s="355"/>
      <c r="BD72" s="355"/>
      <c r="BE72" s="355"/>
      <c r="BF72" s="355"/>
      <c r="BG72" s="355"/>
      <c r="BH72" s="355"/>
      <c r="BI72" s="355"/>
      <c r="BJ72" s="355"/>
      <c r="BK72" s="355"/>
      <c r="BL72" s="356"/>
    </row>
    <row r="73" spans="1:64" x14ac:dyDescent="0.25">
      <c r="A73" s="609"/>
      <c r="B73" s="607"/>
      <c r="C73" s="325" t="s">
        <v>507</v>
      </c>
      <c r="D73" s="402" t="s">
        <v>499</v>
      </c>
      <c r="E73" s="428">
        <f t="shared" ref="E73:AJ73" si="547">(E72-E70)/E70</f>
        <v>-1</v>
      </c>
      <c r="F73" s="371" t="e">
        <f t="shared" si="547"/>
        <v>#DIV/0!</v>
      </c>
      <c r="G73" s="371" t="e">
        <f t="shared" si="547"/>
        <v>#DIV/0!</v>
      </c>
      <c r="H73" s="371" t="e">
        <f t="shared" si="547"/>
        <v>#DIV/0!</v>
      </c>
      <c r="I73" s="371" t="e">
        <f t="shared" si="547"/>
        <v>#DIV/0!</v>
      </c>
      <c r="J73" s="371" t="e">
        <f t="shared" si="547"/>
        <v>#DIV/0!</v>
      </c>
      <c r="K73" s="371" t="e">
        <f t="shared" si="547"/>
        <v>#DIV/0!</v>
      </c>
      <c r="L73" s="371" t="e">
        <f t="shared" si="547"/>
        <v>#DIV/0!</v>
      </c>
      <c r="M73" s="371" t="e">
        <f t="shared" si="547"/>
        <v>#DIV/0!</v>
      </c>
      <c r="N73" s="371" t="e">
        <f t="shared" si="547"/>
        <v>#DIV/0!</v>
      </c>
      <c r="O73" s="371" t="e">
        <f t="shared" si="547"/>
        <v>#DIV/0!</v>
      </c>
      <c r="P73" s="383" t="e">
        <f t="shared" si="547"/>
        <v>#DIV/0!</v>
      </c>
      <c r="Q73" s="371" t="e">
        <f t="shared" si="547"/>
        <v>#DIV/0!</v>
      </c>
      <c r="R73" s="371" t="e">
        <f t="shared" si="547"/>
        <v>#DIV/0!</v>
      </c>
      <c r="S73" s="371" t="e">
        <f t="shared" si="547"/>
        <v>#DIV/0!</v>
      </c>
      <c r="T73" s="371" t="e">
        <f t="shared" si="547"/>
        <v>#DIV/0!</v>
      </c>
      <c r="U73" s="371" t="e">
        <f t="shared" si="547"/>
        <v>#DIV/0!</v>
      </c>
      <c r="V73" s="371" t="e">
        <f t="shared" si="547"/>
        <v>#DIV/0!</v>
      </c>
      <c r="W73" s="371" t="e">
        <f t="shared" si="547"/>
        <v>#DIV/0!</v>
      </c>
      <c r="X73" s="371" t="e">
        <f t="shared" si="547"/>
        <v>#DIV/0!</v>
      </c>
      <c r="Y73" s="371" t="e">
        <f t="shared" si="547"/>
        <v>#DIV/0!</v>
      </c>
      <c r="Z73" s="371" t="e">
        <f t="shared" si="547"/>
        <v>#DIV/0!</v>
      </c>
      <c r="AA73" s="371" t="e">
        <f t="shared" si="547"/>
        <v>#DIV/0!</v>
      </c>
      <c r="AB73" s="371" t="e">
        <f t="shared" si="547"/>
        <v>#DIV/0!</v>
      </c>
      <c r="AC73" s="382" t="e">
        <f t="shared" si="547"/>
        <v>#DIV/0!</v>
      </c>
      <c r="AD73" s="371" t="e">
        <f t="shared" si="547"/>
        <v>#DIV/0!</v>
      </c>
      <c r="AE73" s="371" t="e">
        <f t="shared" si="547"/>
        <v>#DIV/0!</v>
      </c>
      <c r="AF73" s="371" t="e">
        <f t="shared" si="547"/>
        <v>#DIV/0!</v>
      </c>
      <c r="AG73" s="371" t="e">
        <f t="shared" si="547"/>
        <v>#DIV/0!</v>
      </c>
      <c r="AH73" s="371" t="e">
        <f t="shared" si="547"/>
        <v>#DIV/0!</v>
      </c>
      <c r="AI73" s="371" t="e">
        <f t="shared" si="547"/>
        <v>#DIV/0!</v>
      </c>
      <c r="AJ73" s="371" t="e">
        <f t="shared" si="547"/>
        <v>#DIV/0!</v>
      </c>
      <c r="AK73" s="371" t="e">
        <f t="shared" ref="AK73:BL73" si="548">(AK72-AK70)/AK70</f>
        <v>#DIV/0!</v>
      </c>
      <c r="AL73" s="371" t="e">
        <f t="shared" si="548"/>
        <v>#DIV/0!</v>
      </c>
      <c r="AM73" s="371" t="e">
        <f t="shared" si="548"/>
        <v>#DIV/0!</v>
      </c>
      <c r="AN73" s="383" t="e">
        <f t="shared" si="548"/>
        <v>#DIV/0!</v>
      </c>
      <c r="AO73" s="371" t="e">
        <f t="shared" si="548"/>
        <v>#DIV/0!</v>
      </c>
      <c r="AP73" s="371" t="e">
        <f t="shared" si="548"/>
        <v>#DIV/0!</v>
      </c>
      <c r="AQ73" s="371" t="e">
        <f t="shared" si="548"/>
        <v>#DIV/0!</v>
      </c>
      <c r="AR73" s="371" t="e">
        <f t="shared" si="548"/>
        <v>#DIV/0!</v>
      </c>
      <c r="AS73" s="371" t="e">
        <f t="shared" si="548"/>
        <v>#DIV/0!</v>
      </c>
      <c r="AT73" s="371" t="e">
        <f t="shared" si="548"/>
        <v>#DIV/0!</v>
      </c>
      <c r="AU73" s="371" t="e">
        <f t="shared" si="548"/>
        <v>#DIV/0!</v>
      </c>
      <c r="AV73" s="371" t="e">
        <f t="shared" si="548"/>
        <v>#DIV/0!</v>
      </c>
      <c r="AW73" s="371" t="e">
        <f t="shared" si="548"/>
        <v>#DIV/0!</v>
      </c>
      <c r="AX73" s="371" t="e">
        <f t="shared" si="548"/>
        <v>#DIV/0!</v>
      </c>
      <c r="AY73" s="371" t="e">
        <f t="shared" si="548"/>
        <v>#DIV/0!</v>
      </c>
      <c r="AZ73" s="371" t="e">
        <f t="shared" si="548"/>
        <v>#DIV/0!</v>
      </c>
      <c r="BA73" s="382" t="e">
        <f t="shared" si="548"/>
        <v>#DIV/0!</v>
      </c>
      <c r="BB73" s="371" t="e">
        <f t="shared" si="548"/>
        <v>#DIV/0!</v>
      </c>
      <c r="BC73" s="371" t="e">
        <f t="shared" si="548"/>
        <v>#DIV/0!</v>
      </c>
      <c r="BD73" s="371" t="e">
        <f t="shared" si="548"/>
        <v>#DIV/0!</v>
      </c>
      <c r="BE73" s="371" t="e">
        <f t="shared" si="548"/>
        <v>#DIV/0!</v>
      </c>
      <c r="BF73" s="371" t="e">
        <f t="shared" si="548"/>
        <v>#DIV/0!</v>
      </c>
      <c r="BG73" s="371" t="e">
        <f t="shared" si="548"/>
        <v>#DIV/0!</v>
      </c>
      <c r="BH73" s="371" t="e">
        <f t="shared" si="548"/>
        <v>#DIV/0!</v>
      </c>
      <c r="BI73" s="371" t="e">
        <f t="shared" si="548"/>
        <v>#DIV/0!</v>
      </c>
      <c r="BJ73" s="371" t="e">
        <f t="shared" si="548"/>
        <v>#DIV/0!</v>
      </c>
      <c r="BK73" s="371" t="e">
        <f t="shared" si="548"/>
        <v>#DIV/0!</v>
      </c>
      <c r="BL73" s="383" t="e">
        <f t="shared" si="548"/>
        <v>#DIV/0!</v>
      </c>
    </row>
    <row r="74" spans="1:64" ht="16" customHeight="1" x14ac:dyDescent="0.25">
      <c r="A74" s="609"/>
      <c r="B74" s="607"/>
      <c r="C74" s="372" t="s">
        <v>497</v>
      </c>
      <c r="D74" s="401" t="s">
        <v>514</v>
      </c>
      <c r="E74" s="396" t="e">
        <f>HLOOKUP(E2,Advertising!$B$48:$AU$53,6)</f>
        <v>#N/A</v>
      </c>
      <c r="F74" s="374" t="e">
        <f>HLOOKUP(F2,Advertising!$B$48:$AU$53,6)</f>
        <v>#N/A</v>
      </c>
      <c r="G74" s="374" t="e">
        <f>HLOOKUP(G2,Advertising!$B$48:$AU$53,6)</f>
        <v>#N/A</v>
      </c>
      <c r="H74" s="374" t="e">
        <f>HLOOKUP(H2,Advertising!$B$48:$AU$53,6)</f>
        <v>#N/A</v>
      </c>
      <c r="I74" s="374" t="e">
        <f>HLOOKUP(I2,Advertising!$B$48:$AU$53,6)</f>
        <v>#N/A</v>
      </c>
      <c r="J74" s="374" t="e">
        <f>HLOOKUP(J2,Advertising!$B$48:$AU$53,6)</f>
        <v>#N/A</v>
      </c>
      <c r="K74" s="374" t="e">
        <f>HLOOKUP(K2,Advertising!$B$48:$AU$53,6)</f>
        <v>#N/A</v>
      </c>
      <c r="L74" s="374" t="e">
        <f>HLOOKUP(L2,Advertising!$B$48:$AU$53,6)</f>
        <v>#N/A</v>
      </c>
      <c r="M74" s="374" t="e">
        <f>HLOOKUP(M2,Advertising!$B$48:$AU$53,6)</f>
        <v>#N/A</v>
      </c>
      <c r="N74" s="374" t="e">
        <f>HLOOKUP(N2,Advertising!$B$48:$AU$53,6)</f>
        <v>#N/A</v>
      </c>
      <c r="O74" s="374" t="e">
        <f>HLOOKUP(O2,Advertising!$B$48:$AU$53,6)</f>
        <v>#N/A</v>
      </c>
      <c r="P74" s="397" t="e">
        <f>HLOOKUP(P2,Advertising!$B$48:$AU$53,6)</f>
        <v>#N/A</v>
      </c>
      <c r="Q74" s="374" t="e">
        <f>HLOOKUP(Q2,Advertising!$B$48:$AU$53,6)</f>
        <v>#N/A</v>
      </c>
      <c r="R74" s="374" t="e">
        <f>HLOOKUP(R2,Advertising!$B$48:$AU$53,6)</f>
        <v>#N/A</v>
      </c>
      <c r="S74" s="374" t="e">
        <f>HLOOKUP(S2,Advertising!$B$48:$AU$53,6)</f>
        <v>#N/A</v>
      </c>
      <c r="T74" s="374">
        <f>HLOOKUP(T2,Advertising!$B$48:$AU$53,6)</f>
        <v>0</v>
      </c>
      <c r="U74" s="374">
        <f>HLOOKUP(U2,Advertising!$B$48:$AU$53,6)</f>
        <v>0</v>
      </c>
      <c r="V74" s="374">
        <f>HLOOKUP(V2,Advertising!$B$48:$AU$53,6)</f>
        <v>0</v>
      </c>
      <c r="W74" s="374">
        <f>HLOOKUP(W2,Advertising!$B$48:$AU$53,6)</f>
        <v>0</v>
      </c>
      <c r="X74" s="374">
        <f>HLOOKUP(X2,Advertising!$B$48:$AU$53,6)</f>
        <v>0</v>
      </c>
      <c r="Y74" s="374">
        <f>HLOOKUP(Y2,Advertising!$B$48:$AU$53,6)</f>
        <v>0</v>
      </c>
      <c r="Z74" s="374">
        <f>HLOOKUP(Z2,Advertising!$B$48:$AU$53,6)</f>
        <v>0</v>
      </c>
      <c r="AA74" s="374">
        <f>HLOOKUP(AA2,Advertising!$B$48:$AU$53,6)</f>
        <v>83828.790896554405</v>
      </c>
      <c r="AB74" s="374">
        <f>HLOOKUP(AB2,Advertising!$B$48:$AU$53,6)</f>
        <v>89946.606537946704</v>
      </c>
      <c r="AC74" s="396">
        <f>HLOOKUP(AC2,Advertising!$B$48:$AU$53,6)</f>
        <v>96185.42198933012</v>
      </c>
      <c r="AD74" s="374">
        <f>HLOOKUP(AD2,Advertising!$B$48:$AU$53,6)</f>
        <v>107451.89296142303</v>
      </c>
      <c r="AE74" s="374">
        <f>HLOOKUP(AE2,Advertising!$B$48:$AU$53,6)</f>
        <v>133948.8193310698</v>
      </c>
      <c r="AF74" s="374">
        <f>HLOOKUP(AF2,Advertising!$B$48:$AU$53,6)</f>
        <v>145679.37190829104</v>
      </c>
      <c r="AG74" s="374">
        <f>HLOOKUP(AG2,Advertising!$B$48:$AU$53,6)</f>
        <v>157214.41690255754</v>
      </c>
      <c r="AH74" s="374">
        <f>HLOOKUP(AH2,Advertising!$B$48:$AU$53,6)</f>
        <v>168947.6066799257</v>
      </c>
      <c r="AI74" s="374">
        <f>HLOOKUP(AI2,Advertising!$B$48:$AU$53,6)</f>
        <v>195883.04480654403</v>
      </c>
      <c r="AJ74" s="374">
        <f>HLOOKUP(AJ2,Advertising!$B$48:$AU$53,6)</f>
        <v>208025.36038232653</v>
      </c>
      <c r="AK74" s="374">
        <f>HLOOKUP(AK2,Advertising!$B$48:$AU$53,6)</f>
        <v>235379.78687101734</v>
      </c>
      <c r="AL74" s="374">
        <f>HLOOKUP(AL2,Advertising!$B$48:$AU$53,6)</f>
        <v>247952.25275476548</v>
      </c>
      <c r="AM74" s="374">
        <f>HLOOKUP(AM2,Advertising!$B$48:$AU$53,6)</f>
        <v>260749.48578688537</v>
      </c>
      <c r="AN74" s="397">
        <f>HLOOKUP(AN2,Advertising!$B$48:$AU$53,6)</f>
        <v>288779.13288253197</v>
      </c>
      <c r="AO74" s="374">
        <f>HLOOKUP(AO2,Advertising!$B$48:$AU$53,6)</f>
        <v>302049.8979929763</v>
      </c>
      <c r="AP74" s="374">
        <f>HLOOKUP(AP2,Advertising!$B$48:$AU$53,6)</f>
        <v>320456.06344303017</v>
      </c>
      <c r="AQ74" s="374">
        <f>HLOOKUP(AQ2,Advertising!$B$48:$AU$53,6)</f>
        <v>354209.18501119054</v>
      </c>
      <c r="AR74" s="374">
        <f>HLOOKUP(AR2,Advertising!$B$48:$AU$53,6)</f>
        <v>388322.48779418611</v>
      </c>
      <c r="AS74" s="374">
        <f>HLOOKUP(AS2,Advertising!$B$48:$AU$53,6)</f>
        <v>406757.28919988172</v>
      </c>
      <c r="AT74" s="374">
        <f>HLOOKUP(AT2,Advertising!$B$48:$AU$53,6)</f>
        <v>440515.74008774583</v>
      </c>
      <c r="AU74" s="374">
        <f>HLOOKUP(AU2,Advertising!$B$48:$AU$53,6)</f>
        <v>459616.6389497011</v>
      </c>
      <c r="AV74" s="374">
        <f>HLOOKUP(AV2,Advertising!$B$48:$AU$53,6)</f>
        <v>494081.51405030175</v>
      </c>
      <c r="AW74" s="374">
        <f>HLOOKUP(AW2,Advertising!$B$48:$AU$53,6)</f>
        <v>513935.03289262834</v>
      </c>
      <c r="AX74" s="374">
        <f>HLOOKUP(AX2,Advertising!$B$48:$AU$53,6)</f>
        <v>549205.47310406622</v>
      </c>
      <c r="AY74" s="374">
        <f>HLOOKUP(AY2,Advertising!$B$48:$AU$53,6)</f>
        <v>569925.26395495259</v>
      </c>
      <c r="AZ74" s="374">
        <f>HLOOKUP(AZ2,Advertising!$B$48:$AU$53,6)</f>
        <v>606131.60910501773</v>
      </c>
      <c r="BA74" s="396">
        <f>HLOOKUP(BA2,Advertising!$B$48:$AU$53,6)</f>
        <v>642867.20276179432</v>
      </c>
      <c r="BB74" s="374">
        <f>HLOOKUP(BB2,Advertising!$B$48:$AU$53,6)</f>
        <v>668099.61077697587</v>
      </c>
      <c r="BC74" s="374">
        <f>HLOOKUP(BC2,Advertising!$B$48:$AU$53,6)</f>
        <v>709005.185720023</v>
      </c>
      <c r="BD74" s="374">
        <f>HLOOKUP(BD2,Advertising!$B$48:$AU$53,6)</f>
        <v>750648.66761634289</v>
      </c>
      <c r="BE74" s="374">
        <f>HLOOKUP(BE2,Advertising!$B$48:$AU$53,6)</f>
        <v>792301.37762653548</v>
      </c>
      <c r="BF74" s="374">
        <f>HLOOKUP(BF2,Advertising!$B$48:$AU$53,6)</f>
        <v>819811.64530668419</v>
      </c>
      <c r="BG74" s="374">
        <f>HLOOKUP(BG2,Advertising!$B$48:$AU$53,6)</f>
        <v>863276.26508865925</v>
      </c>
      <c r="BH74" s="374">
        <f>HLOOKUP(BH2,Advertising!$B$48:$AU$53,6)</f>
        <v>907806.46416800166</v>
      </c>
      <c r="BI74" s="374">
        <f>HLOOKUP(BI2,Advertising!$B$48:$AU$53,6)</f>
        <v>953530.06741847144</v>
      </c>
      <c r="BJ74" s="374">
        <f>HLOOKUP(BJ2,Advertising!$B$48:$AU$53,6)</f>
        <v>1000593.9870437835</v>
      </c>
      <c r="BK74" s="374">
        <f>HLOOKUP(BK2,Advertising!$B$48:$AU$53,6)</f>
        <v>1049167.0856770985</v>
      </c>
      <c r="BL74" s="397">
        <f>HLOOKUP(BL2,Advertising!$B$48:$AU$53,6)</f>
        <v>1099443.4689454413</v>
      </c>
    </row>
    <row r="75" spans="1:64" ht="17" x14ac:dyDescent="0.25">
      <c r="A75" s="609"/>
      <c r="B75" s="607"/>
      <c r="C75" s="373" t="s">
        <v>498</v>
      </c>
      <c r="D75" s="402" t="s">
        <v>514</v>
      </c>
      <c r="E75" s="388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5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88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45"/>
      <c r="AO75" s="344"/>
      <c r="AP75" s="344"/>
      <c r="AQ75" s="344"/>
      <c r="AR75" s="344"/>
      <c r="AS75" s="344"/>
      <c r="AT75" s="344"/>
      <c r="AU75" s="344"/>
      <c r="AV75" s="344"/>
      <c r="AW75" s="344"/>
      <c r="AX75" s="344"/>
      <c r="AY75" s="344"/>
      <c r="AZ75" s="344"/>
      <c r="BA75" s="388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5"/>
    </row>
    <row r="76" spans="1:64" x14ac:dyDescent="0.25">
      <c r="A76" s="609"/>
      <c r="B76" s="607"/>
      <c r="C76" s="370" t="s">
        <v>507</v>
      </c>
      <c r="D76" s="403" t="s">
        <v>499</v>
      </c>
      <c r="E76" s="382" t="e">
        <f>(E75-E74)/E74</f>
        <v>#N/A</v>
      </c>
      <c r="F76" s="371" t="e">
        <f t="shared" ref="F76" si="549">(F75-F74)/F74</f>
        <v>#N/A</v>
      </c>
      <c r="G76" s="371" t="e">
        <f t="shared" ref="G76" si="550">(G75-G74)/G74</f>
        <v>#N/A</v>
      </c>
      <c r="H76" s="371" t="e">
        <f t="shared" ref="H76" si="551">(H75-H74)/H74</f>
        <v>#N/A</v>
      </c>
      <c r="I76" s="371" t="e">
        <f t="shared" ref="I76" si="552">(I75-I74)/I74</f>
        <v>#N/A</v>
      </c>
      <c r="J76" s="371" t="e">
        <f t="shared" ref="J76" si="553">(J75-J74)/J74</f>
        <v>#N/A</v>
      </c>
      <c r="K76" s="371" t="e">
        <f t="shared" ref="K76" si="554">(K75-K74)/K74</f>
        <v>#N/A</v>
      </c>
      <c r="L76" s="371" t="e">
        <f t="shared" ref="L76" si="555">(L75-L74)/L74</f>
        <v>#N/A</v>
      </c>
      <c r="M76" s="371" t="e">
        <f t="shared" ref="M76" si="556">(M75-M74)/M74</f>
        <v>#N/A</v>
      </c>
      <c r="N76" s="371" t="e">
        <f t="shared" ref="N76" si="557">(N75-N74)/N74</f>
        <v>#N/A</v>
      </c>
      <c r="O76" s="371" t="e">
        <f t="shared" ref="O76" si="558">(O75-O74)/O74</f>
        <v>#N/A</v>
      </c>
      <c r="P76" s="383" t="e">
        <f t="shared" ref="P76" si="559">(P75-P74)/P74</f>
        <v>#N/A</v>
      </c>
      <c r="Q76" s="371" t="e">
        <f t="shared" ref="Q76" si="560">(Q75-Q74)/Q74</f>
        <v>#N/A</v>
      </c>
      <c r="R76" s="371" t="e">
        <f t="shared" ref="R76" si="561">(R75-R74)/R74</f>
        <v>#N/A</v>
      </c>
      <c r="S76" s="371" t="e">
        <f t="shared" ref="S76" si="562">(S75-S74)/S74</f>
        <v>#N/A</v>
      </c>
      <c r="T76" s="371" t="e">
        <f t="shared" ref="T76" si="563">(T75-T74)/T74</f>
        <v>#DIV/0!</v>
      </c>
      <c r="U76" s="371" t="e">
        <f t="shared" ref="U76" si="564">(U75-U74)/U74</f>
        <v>#DIV/0!</v>
      </c>
      <c r="V76" s="371" t="e">
        <f t="shared" ref="V76" si="565">(V75-V74)/V74</f>
        <v>#DIV/0!</v>
      </c>
      <c r="W76" s="371" t="e">
        <f t="shared" ref="W76" si="566">(W75-W74)/W74</f>
        <v>#DIV/0!</v>
      </c>
      <c r="X76" s="371" t="e">
        <f t="shared" ref="X76" si="567">(X75-X74)/X74</f>
        <v>#DIV/0!</v>
      </c>
      <c r="Y76" s="371" t="e">
        <f t="shared" ref="Y76" si="568">(Y75-Y74)/Y74</f>
        <v>#DIV/0!</v>
      </c>
      <c r="Z76" s="371" t="e">
        <f t="shared" ref="Z76" si="569">(Z75-Z74)/Z74</f>
        <v>#DIV/0!</v>
      </c>
      <c r="AA76" s="371">
        <f t="shared" ref="AA76" si="570">(AA75-AA74)/AA74</f>
        <v>-1</v>
      </c>
      <c r="AB76" s="371">
        <f t="shared" ref="AB76" si="571">(AB75-AB74)/AB74</f>
        <v>-1</v>
      </c>
      <c r="AC76" s="382">
        <f t="shared" ref="AC76" si="572">(AC75-AC74)/AC74</f>
        <v>-1</v>
      </c>
      <c r="AD76" s="371">
        <f t="shared" ref="AD76" si="573">(AD75-AD74)/AD74</f>
        <v>-1</v>
      </c>
      <c r="AE76" s="371">
        <f t="shared" ref="AE76" si="574">(AE75-AE74)/AE74</f>
        <v>-1</v>
      </c>
      <c r="AF76" s="371">
        <f t="shared" ref="AF76" si="575">(AF75-AF74)/AF74</f>
        <v>-1</v>
      </c>
      <c r="AG76" s="371">
        <f t="shared" ref="AG76" si="576">(AG75-AG74)/AG74</f>
        <v>-1</v>
      </c>
      <c r="AH76" s="371">
        <f t="shared" ref="AH76" si="577">(AH75-AH74)/AH74</f>
        <v>-1</v>
      </c>
      <c r="AI76" s="371">
        <f t="shared" ref="AI76" si="578">(AI75-AI74)/AI74</f>
        <v>-1</v>
      </c>
      <c r="AJ76" s="371">
        <f t="shared" ref="AJ76" si="579">(AJ75-AJ74)/AJ74</f>
        <v>-1</v>
      </c>
      <c r="AK76" s="371">
        <f t="shared" ref="AK76" si="580">(AK75-AK74)/AK74</f>
        <v>-1</v>
      </c>
      <c r="AL76" s="371">
        <f t="shared" ref="AL76" si="581">(AL75-AL74)/AL74</f>
        <v>-1</v>
      </c>
      <c r="AM76" s="371">
        <f t="shared" ref="AM76" si="582">(AM75-AM74)/AM74</f>
        <v>-1</v>
      </c>
      <c r="AN76" s="383">
        <f t="shared" ref="AN76" si="583">(AN75-AN74)/AN74</f>
        <v>-1</v>
      </c>
      <c r="AO76" s="371">
        <f t="shared" ref="AO76" si="584">(AO75-AO74)/AO74</f>
        <v>-1</v>
      </c>
      <c r="AP76" s="371">
        <f t="shared" ref="AP76" si="585">(AP75-AP74)/AP74</f>
        <v>-1</v>
      </c>
      <c r="AQ76" s="371">
        <f t="shared" ref="AQ76" si="586">(AQ75-AQ74)/AQ74</f>
        <v>-1</v>
      </c>
      <c r="AR76" s="371">
        <f t="shared" ref="AR76" si="587">(AR75-AR74)/AR74</f>
        <v>-1</v>
      </c>
      <c r="AS76" s="371">
        <f t="shared" ref="AS76" si="588">(AS75-AS74)/AS74</f>
        <v>-1</v>
      </c>
      <c r="AT76" s="371">
        <f t="shared" ref="AT76" si="589">(AT75-AT74)/AT74</f>
        <v>-1</v>
      </c>
      <c r="AU76" s="371">
        <f t="shared" ref="AU76" si="590">(AU75-AU74)/AU74</f>
        <v>-1</v>
      </c>
      <c r="AV76" s="371">
        <f t="shared" ref="AV76" si="591">(AV75-AV74)/AV74</f>
        <v>-1</v>
      </c>
      <c r="AW76" s="371">
        <f t="shared" ref="AW76" si="592">(AW75-AW74)/AW74</f>
        <v>-1</v>
      </c>
      <c r="AX76" s="371">
        <f t="shared" ref="AX76" si="593">(AX75-AX74)/AX74</f>
        <v>-1</v>
      </c>
      <c r="AY76" s="371">
        <f t="shared" ref="AY76" si="594">(AY75-AY74)/AY74</f>
        <v>-1</v>
      </c>
      <c r="AZ76" s="371">
        <f t="shared" ref="AZ76" si="595">(AZ75-AZ74)/AZ74</f>
        <v>-1</v>
      </c>
      <c r="BA76" s="382">
        <f t="shared" ref="BA76" si="596">(BA75-BA74)/BA74</f>
        <v>-1</v>
      </c>
      <c r="BB76" s="371">
        <f t="shared" ref="BB76" si="597">(BB75-BB74)/BB74</f>
        <v>-1</v>
      </c>
      <c r="BC76" s="371">
        <f t="shared" ref="BC76" si="598">(BC75-BC74)/BC74</f>
        <v>-1</v>
      </c>
      <c r="BD76" s="371">
        <f t="shared" ref="BD76" si="599">(BD75-BD74)/BD74</f>
        <v>-1</v>
      </c>
      <c r="BE76" s="371">
        <f t="shared" ref="BE76" si="600">(BE75-BE74)/BE74</f>
        <v>-1</v>
      </c>
      <c r="BF76" s="371">
        <f t="shared" ref="BF76" si="601">(BF75-BF74)/BF74</f>
        <v>-1</v>
      </c>
      <c r="BG76" s="371">
        <f t="shared" ref="BG76" si="602">(BG75-BG74)/BG74</f>
        <v>-1</v>
      </c>
      <c r="BH76" s="371">
        <f t="shared" ref="BH76" si="603">(BH75-BH74)/BH74</f>
        <v>-1</v>
      </c>
      <c r="BI76" s="371">
        <f t="shared" ref="BI76" si="604">(BI75-BI74)/BI74</f>
        <v>-1</v>
      </c>
      <c r="BJ76" s="371">
        <f t="shared" ref="BJ76" si="605">(BJ75-BJ74)/BJ74</f>
        <v>-1</v>
      </c>
      <c r="BK76" s="371">
        <f t="shared" ref="BK76" si="606">(BK75-BK74)/BK74</f>
        <v>-1</v>
      </c>
      <c r="BL76" s="383">
        <f t="shared" ref="BL76" si="607">(BL75-BL74)/BL74</f>
        <v>-1</v>
      </c>
    </row>
    <row r="77" spans="1:64" ht="16" customHeight="1" x14ac:dyDescent="0.25">
      <c r="A77" s="609"/>
      <c r="B77" s="607"/>
      <c r="C77" s="343" t="s">
        <v>497</v>
      </c>
      <c r="D77" s="402" t="s">
        <v>55</v>
      </c>
      <c r="E77" s="398" t="e">
        <f>HLOOKUP('KPI Tracking data'!E2,Advertising!$B$56:$AU$62,7)</f>
        <v>#N/A</v>
      </c>
      <c r="F77" s="357" t="e">
        <f>HLOOKUP('KPI Tracking data'!F2,Advertising!$B$56:$AU$62,7)</f>
        <v>#N/A</v>
      </c>
      <c r="G77" s="357" t="e">
        <f>HLOOKUP('KPI Tracking data'!G2,Advertising!$B$56:$AU$62,7)</f>
        <v>#N/A</v>
      </c>
      <c r="H77" s="357" t="e">
        <f>HLOOKUP('KPI Tracking data'!H2,Advertising!$B$56:$AU$62,7)</f>
        <v>#N/A</v>
      </c>
      <c r="I77" s="357" t="e">
        <f>HLOOKUP('KPI Tracking data'!I2,Advertising!$B$56:$AU$62,7)</f>
        <v>#N/A</v>
      </c>
      <c r="J77" s="357" t="e">
        <f>HLOOKUP('KPI Tracking data'!J2,Advertising!$B$56:$AU$62,7)</f>
        <v>#N/A</v>
      </c>
      <c r="K77" s="357" t="e">
        <f>HLOOKUP('KPI Tracking data'!K2,Advertising!$B$56:$AU$62,7)</f>
        <v>#N/A</v>
      </c>
      <c r="L77" s="357" t="e">
        <f>HLOOKUP('KPI Tracking data'!L2,Advertising!$B$56:$AU$62,7)</f>
        <v>#N/A</v>
      </c>
      <c r="M77" s="357" t="e">
        <f>HLOOKUP('KPI Tracking data'!M2,Advertising!$B$56:$AU$62,7)</f>
        <v>#N/A</v>
      </c>
      <c r="N77" s="357" t="e">
        <f>HLOOKUP('KPI Tracking data'!N2,Advertising!$B$56:$AU$62,7)</f>
        <v>#N/A</v>
      </c>
      <c r="O77" s="357" t="e">
        <f>HLOOKUP('KPI Tracking data'!O2,Advertising!$B$56:$AU$62,7)</f>
        <v>#N/A</v>
      </c>
      <c r="P77" s="358" t="e">
        <f>HLOOKUP('KPI Tracking data'!P2,Advertising!$B$56:$AU$62,7)</f>
        <v>#N/A</v>
      </c>
      <c r="Q77" s="357" t="e">
        <f>HLOOKUP('KPI Tracking data'!Q2,Advertising!$B$56:$AU$62,7)</f>
        <v>#N/A</v>
      </c>
      <c r="R77" s="357" t="e">
        <f>HLOOKUP('KPI Tracking data'!R2,Advertising!$B$56:$AU$62,7)</f>
        <v>#N/A</v>
      </c>
      <c r="S77" s="357" t="e">
        <f>HLOOKUP('KPI Tracking data'!S2,Advertising!$B$56:$AU$62,7)</f>
        <v>#N/A</v>
      </c>
      <c r="T77" s="357">
        <f>HLOOKUP('KPI Tracking data'!T2,Advertising!$B$56:$AU$62,7)</f>
        <v>23290</v>
      </c>
      <c r="U77" s="357">
        <f>HLOOKUP('KPI Tracking data'!U2,Advertising!$B$56:$AU$62,7)</f>
        <v>23290</v>
      </c>
      <c r="V77" s="357">
        <f>HLOOKUP('KPI Tracking data'!V2,Advertising!$B$56:$AU$62,7)</f>
        <v>23305</v>
      </c>
      <c r="W77" s="357">
        <f>HLOOKUP('KPI Tracking data'!W2,Advertising!$B$56:$AU$62,7)</f>
        <v>23320.224999999999</v>
      </c>
      <c r="X77" s="357">
        <f>HLOOKUP('KPI Tracking data'!X2,Advertising!$B$56:$AU$62,7)</f>
        <v>23335.678375</v>
      </c>
      <c r="Y77" s="357">
        <f>HLOOKUP('KPI Tracking data'!Y2,Advertising!$B$56:$AU$62,7)</f>
        <v>10946.363550624999</v>
      </c>
      <c r="Z77" s="357">
        <f>HLOOKUP('KPI Tracking data'!Z2,Advertising!$B$56:$AU$62,7)</f>
        <v>10962.284003884375</v>
      </c>
      <c r="AA77" s="357">
        <f>HLOOKUP('KPI Tracking data'!AA2,Advertising!$B$56:$AU$62,7)</f>
        <v>11093.44326394264</v>
      </c>
      <c r="AB77" s="357">
        <f>HLOOKUP('KPI Tracking data'!AB2,Advertising!$B$56:$AU$62,7)</f>
        <v>11109.844912901779</v>
      </c>
      <c r="AC77" s="398">
        <f>HLOOKUP('KPI Tracking data'!AC2,Advertising!$B$56:$AU$62,7)</f>
        <v>11126.492586595306</v>
      </c>
      <c r="AD77" s="357">
        <f>HLOOKUP('KPI Tracking data'!AD2,Advertising!$B$56:$AU$62,7)</f>
        <v>11143.389975394235</v>
      </c>
      <c r="AE77" s="357">
        <f>HLOOKUP('KPI Tracking data'!AE2,Advertising!$B$56:$AU$62,7)</f>
        <v>11160.540825025149</v>
      </c>
      <c r="AF77" s="357">
        <f>HLOOKUP('KPI Tracking data'!AF2,Advertising!$B$56:$AU$62,7)</f>
        <v>11177.948937400526</v>
      </c>
      <c r="AG77" s="357">
        <f>HLOOKUP('KPI Tracking data'!AG2,Advertising!$B$56:$AU$62,7)</f>
        <v>11195.618171461534</v>
      </c>
      <c r="AH77" s="357">
        <f>HLOOKUP('KPI Tracking data'!AH2,Advertising!$B$56:$AU$62,7)</f>
        <v>11213.552444033456</v>
      </c>
      <c r="AI77" s="357">
        <f>HLOOKUP('KPI Tracking data'!AI2,Advertising!$B$56:$AU$62,7)</f>
        <v>11231.755730693958</v>
      </c>
      <c r="AJ77" s="357">
        <f>HLOOKUP('KPI Tracking data'!AJ2,Advertising!$B$56:$AU$62,7)</f>
        <v>11250.232066654367</v>
      </c>
      <c r="AK77" s="357">
        <f>HLOOKUP('KPI Tracking data'!AK2,Advertising!$B$56:$AU$62,7)</f>
        <v>11268.985547654183</v>
      </c>
      <c r="AL77" s="357">
        <f>HLOOKUP('KPI Tracking data'!AL2,Advertising!$B$56:$AU$62,7)</f>
        <v>11288.020330868996</v>
      </c>
      <c r="AM77" s="357">
        <f>HLOOKUP('KPI Tracking data'!AM2,Advertising!$B$56:$AU$62,7)</f>
        <v>11307.34063583203</v>
      </c>
      <c r="AN77" s="358">
        <f>HLOOKUP('KPI Tracking data'!AN2,Advertising!$B$56:$AU$62,7)</f>
        <v>11326.950745369511</v>
      </c>
      <c r="AO77" s="357">
        <f>HLOOKUP('KPI Tracking data'!AO2,Advertising!$B$56:$AU$62,7)</f>
        <v>11346.855006550053</v>
      </c>
      <c r="AP77" s="357">
        <f>HLOOKUP('KPI Tracking data'!AP2,Advertising!$B$56:$AU$62,7)</f>
        <v>11367.057831648304</v>
      </c>
      <c r="AQ77" s="357">
        <f>HLOOKUP('KPI Tracking data'!AQ2,Advertising!$B$56:$AU$62,7)</f>
        <v>11387.563699123029</v>
      </c>
      <c r="AR77" s="357">
        <f>HLOOKUP('KPI Tracking data'!AR2,Advertising!$B$56:$AU$62,7)</f>
        <v>11408.377154609874</v>
      </c>
      <c r="AS77" s="357">
        <f>HLOOKUP('KPI Tracking data'!AS2,Advertising!$B$56:$AU$62,7)</f>
        <v>11429.502811929022</v>
      </c>
      <c r="AT77" s="357">
        <f>HLOOKUP('KPI Tracking data'!AT2,Advertising!$B$56:$AU$62,7)</f>
        <v>11450.945354107957</v>
      </c>
      <c r="AU77" s="357">
        <f>HLOOKUP('KPI Tracking data'!AU2,Advertising!$B$56:$AU$62,7)</f>
        <v>11472.709534419577</v>
      </c>
      <c r="AV77" s="357">
        <f>HLOOKUP('KPI Tracking data'!AV2,Advertising!$B$56:$AU$62,7)</f>
        <v>11494.800177435869</v>
      </c>
      <c r="AW77" s="357">
        <f>HLOOKUP('KPI Tracking data'!AW2,Advertising!$B$56:$AU$62,7)</f>
        <v>11517.222180097408</v>
      </c>
      <c r="AX77" s="357">
        <f>HLOOKUP('KPI Tracking data'!AX2,Advertising!$B$56:$AU$62,7)</f>
        <v>11539.980512798869</v>
      </c>
      <c r="AY77" s="357">
        <f>HLOOKUP('KPI Tracking data'!AY2,Advertising!$B$56:$AU$62,7)</f>
        <v>11563.08022049085</v>
      </c>
      <c r="AZ77" s="357">
        <f>HLOOKUP('KPI Tracking data'!AZ2,Advertising!$B$56:$AU$62,7)</f>
        <v>11586.526423798214</v>
      </c>
      <c r="BA77" s="398">
        <f>HLOOKUP('KPI Tracking data'!BA2,Advertising!$B$56:$AU$62,7)</f>
        <v>11610.324320155187</v>
      </c>
      <c r="BB77" s="357">
        <f>HLOOKUP('KPI Tracking data'!BB2,Advertising!$B$56:$AU$62,7)</f>
        <v>11634.479184957514</v>
      </c>
      <c r="BC77" s="357">
        <f>HLOOKUP('KPI Tracking data'!BC2,Advertising!$B$56:$AU$62,7)</f>
        <v>11658.996372731877</v>
      </c>
      <c r="BD77" s="357">
        <f>HLOOKUP('KPI Tracking data'!BD2,Advertising!$B$56:$AU$62,7)</f>
        <v>11683.881318322856</v>
      </c>
      <c r="BE77" s="357">
        <f>HLOOKUP('KPI Tracking data'!BE2,Advertising!$B$56:$AU$62,7)</f>
        <v>11709.139538097697</v>
      </c>
      <c r="BF77" s="357">
        <f>HLOOKUP('KPI Tracking data'!BF2,Advertising!$B$56:$AU$62,7)</f>
        <v>11734.776631169163</v>
      </c>
      <c r="BG77" s="357">
        <f>HLOOKUP('KPI Tracking data'!BG2,Advertising!$B$56:$AU$62,7)</f>
        <v>11760.7982806367</v>
      </c>
      <c r="BH77" s="357">
        <f>HLOOKUP('KPI Tracking data'!BH2,Advertising!$B$56:$AU$62,7)</f>
        <v>11787.210254846252</v>
      </c>
      <c r="BI77" s="357">
        <f>HLOOKUP('KPI Tracking data'!BI2,Advertising!$B$56:$AU$62,7)</f>
        <v>11814.018408668944</v>
      </c>
      <c r="BJ77" s="357">
        <f>HLOOKUP('KPI Tracking data'!BJ2,Advertising!$B$56:$AU$62,7)</f>
        <v>11841.228684798978</v>
      </c>
      <c r="BK77" s="357">
        <f>HLOOKUP('KPI Tracking data'!BK2,Advertising!$B$56:$AU$62,7)</f>
        <v>11868.847115070963</v>
      </c>
      <c r="BL77" s="358">
        <f>HLOOKUP('KPI Tracking data'!BL2,Advertising!$B$56:$AU$62,7)</f>
        <v>11896.879821797027</v>
      </c>
    </row>
    <row r="78" spans="1:64" ht="17" x14ac:dyDescent="0.25">
      <c r="A78" s="609"/>
      <c r="B78" s="607"/>
      <c r="C78" s="343" t="s">
        <v>498</v>
      </c>
      <c r="D78" s="402" t="s">
        <v>55</v>
      </c>
      <c r="E78" s="388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5"/>
      <c r="Q78" s="344"/>
      <c r="R78" s="344"/>
      <c r="S78" s="344"/>
      <c r="T78" s="344"/>
      <c r="U78" s="344"/>
      <c r="V78" s="344"/>
      <c r="W78" s="344"/>
      <c r="X78" s="344"/>
      <c r="Y78" s="344"/>
      <c r="Z78" s="344"/>
      <c r="AA78" s="344"/>
      <c r="AB78" s="344"/>
      <c r="AC78" s="388"/>
      <c r="AD78" s="344"/>
      <c r="AE78" s="344"/>
      <c r="AF78" s="344"/>
      <c r="AG78" s="344"/>
      <c r="AH78" s="344"/>
      <c r="AI78" s="344"/>
      <c r="AJ78" s="344"/>
      <c r="AK78" s="344"/>
      <c r="AL78" s="344"/>
      <c r="AM78" s="344"/>
      <c r="AN78" s="345"/>
      <c r="AO78" s="344"/>
      <c r="AP78" s="344"/>
      <c r="AQ78" s="344"/>
      <c r="AR78" s="344"/>
      <c r="AS78" s="344"/>
      <c r="AT78" s="344"/>
      <c r="AU78" s="344"/>
      <c r="AV78" s="344"/>
      <c r="AW78" s="344"/>
      <c r="AX78" s="344"/>
      <c r="AY78" s="344"/>
      <c r="AZ78" s="344"/>
      <c r="BA78" s="388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5"/>
    </row>
    <row r="79" spans="1:64" x14ac:dyDescent="0.25">
      <c r="A79" s="609"/>
      <c r="B79" s="607"/>
      <c r="C79" s="325" t="s">
        <v>507</v>
      </c>
      <c r="D79" s="402" t="s">
        <v>499</v>
      </c>
      <c r="E79" s="385" t="e">
        <f>(E78-E77)/E77</f>
        <v>#N/A</v>
      </c>
      <c r="F79" s="326" t="e">
        <f t="shared" ref="F79" si="608">(F78-F77)/F77</f>
        <v>#N/A</v>
      </c>
      <c r="G79" s="326" t="e">
        <f t="shared" ref="G79" si="609">(G78-G77)/G77</f>
        <v>#N/A</v>
      </c>
      <c r="H79" s="326" t="e">
        <f t="shared" ref="H79" si="610">(H78-H77)/H77</f>
        <v>#N/A</v>
      </c>
      <c r="I79" s="326" t="e">
        <f t="shared" ref="I79" si="611">(I78-I77)/I77</f>
        <v>#N/A</v>
      </c>
      <c r="J79" s="326" t="e">
        <f t="shared" ref="J79" si="612">(J78-J77)/J77</f>
        <v>#N/A</v>
      </c>
      <c r="K79" s="326" t="e">
        <f t="shared" ref="K79" si="613">(K78-K77)/K77</f>
        <v>#N/A</v>
      </c>
      <c r="L79" s="326" t="e">
        <f t="shared" ref="L79" si="614">(L78-L77)/L77</f>
        <v>#N/A</v>
      </c>
      <c r="M79" s="326" t="e">
        <f t="shared" ref="M79" si="615">(M78-M77)/M77</f>
        <v>#N/A</v>
      </c>
      <c r="N79" s="326" t="e">
        <f t="shared" ref="N79" si="616">(N78-N77)/N77</f>
        <v>#N/A</v>
      </c>
      <c r="O79" s="326" t="e">
        <f t="shared" ref="O79" si="617">(O78-O77)/O77</f>
        <v>#N/A</v>
      </c>
      <c r="P79" s="333" t="e">
        <f t="shared" ref="P79" si="618">(P78-P77)/P77</f>
        <v>#N/A</v>
      </c>
      <c r="Q79" s="326" t="e">
        <f t="shared" ref="Q79" si="619">(Q78-Q77)/Q77</f>
        <v>#N/A</v>
      </c>
      <c r="R79" s="326" t="e">
        <f t="shared" ref="R79" si="620">(R78-R77)/R77</f>
        <v>#N/A</v>
      </c>
      <c r="S79" s="326" t="e">
        <f t="shared" ref="S79" si="621">(S78-S77)/S77</f>
        <v>#N/A</v>
      </c>
      <c r="T79" s="326">
        <f t="shared" ref="T79" si="622">(T78-T77)/T77</f>
        <v>-1</v>
      </c>
      <c r="U79" s="326">
        <f t="shared" ref="U79" si="623">(U78-U77)/U77</f>
        <v>-1</v>
      </c>
      <c r="V79" s="326">
        <f t="shared" ref="V79" si="624">(V78-V77)/V77</f>
        <v>-1</v>
      </c>
      <c r="W79" s="326">
        <f t="shared" ref="W79" si="625">(W78-W77)/W77</f>
        <v>-1</v>
      </c>
      <c r="X79" s="326">
        <f t="shared" ref="X79" si="626">(X78-X77)/X77</f>
        <v>-1</v>
      </c>
      <c r="Y79" s="326">
        <f t="shared" ref="Y79" si="627">(Y78-Y77)/Y77</f>
        <v>-1</v>
      </c>
      <c r="Z79" s="326">
        <f t="shared" ref="Z79" si="628">(Z78-Z77)/Z77</f>
        <v>-1</v>
      </c>
      <c r="AA79" s="326">
        <f t="shared" ref="AA79" si="629">(AA78-AA77)/AA77</f>
        <v>-1</v>
      </c>
      <c r="AB79" s="326">
        <f t="shared" ref="AB79" si="630">(AB78-AB77)/AB77</f>
        <v>-1</v>
      </c>
      <c r="AC79" s="385">
        <f t="shared" ref="AC79" si="631">(AC78-AC77)/AC77</f>
        <v>-1</v>
      </c>
      <c r="AD79" s="326">
        <f t="shared" ref="AD79" si="632">(AD78-AD77)/AD77</f>
        <v>-1</v>
      </c>
      <c r="AE79" s="326">
        <f t="shared" ref="AE79" si="633">(AE78-AE77)/AE77</f>
        <v>-1</v>
      </c>
      <c r="AF79" s="326">
        <f t="shared" ref="AF79" si="634">(AF78-AF77)/AF77</f>
        <v>-1</v>
      </c>
      <c r="AG79" s="326">
        <f t="shared" ref="AG79" si="635">(AG78-AG77)/AG77</f>
        <v>-1</v>
      </c>
      <c r="AH79" s="326">
        <f t="shared" ref="AH79" si="636">(AH78-AH77)/AH77</f>
        <v>-1</v>
      </c>
      <c r="AI79" s="326">
        <f t="shared" ref="AI79" si="637">(AI78-AI77)/AI77</f>
        <v>-1</v>
      </c>
      <c r="AJ79" s="326">
        <f t="shared" ref="AJ79" si="638">(AJ78-AJ77)/AJ77</f>
        <v>-1</v>
      </c>
      <c r="AK79" s="326">
        <f t="shared" ref="AK79" si="639">(AK78-AK77)/AK77</f>
        <v>-1</v>
      </c>
      <c r="AL79" s="326">
        <f t="shared" ref="AL79" si="640">(AL78-AL77)/AL77</f>
        <v>-1</v>
      </c>
      <c r="AM79" s="326">
        <f t="shared" ref="AM79" si="641">(AM78-AM77)/AM77</f>
        <v>-1</v>
      </c>
      <c r="AN79" s="333">
        <f t="shared" ref="AN79" si="642">(AN78-AN77)/AN77</f>
        <v>-1</v>
      </c>
      <c r="AO79" s="326">
        <f t="shared" ref="AO79" si="643">(AO78-AO77)/AO77</f>
        <v>-1</v>
      </c>
      <c r="AP79" s="326">
        <f t="shared" ref="AP79" si="644">(AP78-AP77)/AP77</f>
        <v>-1</v>
      </c>
      <c r="AQ79" s="326">
        <f t="shared" ref="AQ79" si="645">(AQ78-AQ77)/AQ77</f>
        <v>-1</v>
      </c>
      <c r="AR79" s="326">
        <f t="shared" ref="AR79" si="646">(AR78-AR77)/AR77</f>
        <v>-1</v>
      </c>
      <c r="AS79" s="326">
        <f t="shared" ref="AS79" si="647">(AS78-AS77)/AS77</f>
        <v>-1</v>
      </c>
      <c r="AT79" s="326">
        <f t="shared" ref="AT79" si="648">(AT78-AT77)/AT77</f>
        <v>-1</v>
      </c>
      <c r="AU79" s="326">
        <f t="shared" ref="AU79" si="649">(AU78-AU77)/AU77</f>
        <v>-1</v>
      </c>
      <c r="AV79" s="326">
        <f t="shared" ref="AV79" si="650">(AV78-AV77)/AV77</f>
        <v>-1</v>
      </c>
      <c r="AW79" s="326">
        <f t="shared" ref="AW79" si="651">(AW78-AW77)/AW77</f>
        <v>-1</v>
      </c>
      <c r="AX79" s="326">
        <f t="shared" ref="AX79" si="652">(AX78-AX77)/AX77</f>
        <v>-1</v>
      </c>
      <c r="AY79" s="326">
        <f t="shared" ref="AY79" si="653">(AY78-AY77)/AY77</f>
        <v>-1</v>
      </c>
      <c r="AZ79" s="326">
        <f t="shared" ref="AZ79" si="654">(AZ78-AZ77)/AZ77</f>
        <v>-1</v>
      </c>
      <c r="BA79" s="385">
        <f t="shared" ref="BA79" si="655">(BA78-BA77)/BA77</f>
        <v>-1</v>
      </c>
      <c r="BB79" s="326">
        <f t="shared" ref="BB79" si="656">(BB78-BB77)/BB77</f>
        <v>-1</v>
      </c>
      <c r="BC79" s="326">
        <f t="shared" ref="BC79" si="657">(BC78-BC77)/BC77</f>
        <v>-1</v>
      </c>
      <c r="BD79" s="326">
        <f t="shared" ref="BD79" si="658">(BD78-BD77)/BD77</f>
        <v>-1</v>
      </c>
      <c r="BE79" s="326">
        <f t="shared" ref="BE79" si="659">(BE78-BE77)/BE77</f>
        <v>-1</v>
      </c>
      <c r="BF79" s="326">
        <f t="shared" ref="BF79" si="660">(BF78-BF77)/BF77</f>
        <v>-1</v>
      </c>
      <c r="BG79" s="326">
        <f t="shared" ref="BG79" si="661">(BG78-BG77)/BG77</f>
        <v>-1</v>
      </c>
      <c r="BH79" s="326">
        <f t="shared" ref="BH79" si="662">(BH78-BH77)/BH77</f>
        <v>-1</v>
      </c>
      <c r="BI79" s="326">
        <f t="shared" ref="BI79" si="663">(BI78-BI77)/BI77</f>
        <v>-1</v>
      </c>
      <c r="BJ79" s="326">
        <f t="shared" ref="BJ79" si="664">(BJ78-BJ77)/BJ77</f>
        <v>-1</v>
      </c>
      <c r="BK79" s="326">
        <f t="shared" ref="BK79" si="665">(BK78-BK77)/BK77</f>
        <v>-1</v>
      </c>
      <c r="BL79" s="333">
        <f t="shared" ref="BL79" si="666">(BL78-BL77)/BL77</f>
        <v>-1</v>
      </c>
    </row>
    <row r="80" spans="1:64" ht="16" customHeight="1" x14ac:dyDescent="0.25">
      <c r="A80" s="609"/>
      <c r="B80" s="607"/>
      <c r="C80" s="372" t="s">
        <v>497</v>
      </c>
      <c r="D80" s="401" t="s">
        <v>56</v>
      </c>
      <c r="E80" s="396" t="e">
        <f>HLOOKUP(E2,Advertising!$B$65:$AU$68,4)</f>
        <v>#N/A</v>
      </c>
      <c r="F80" s="374" t="e">
        <f>HLOOKUP(F2,Advertising!$B$65:$AU$68,4)</f>
        <v>#N/A</v>
      </c>
      <c r="G80" s="374" t="e">
        <f>HLOOKUP(G2,Advertising!$B$65:$AU$68,4)</f>
        <v>#N/A</v>
      </c>
      <c r="H80" s="374" t="e">
        <f>HLOOKUP(H2,Advertising!$B$65:$AU$68,4)</f>
        <v>#N/A</v>
      </c>
      <c r="I80" s="374" t="e">
        <f>HLOOKUP(I2,Advertising!$B$65:$AU$68,4)</f>
        <v>#N/A</v>
      </c>
      <c r="J80" s="374" t="e">
        <f>HLOOKUP(J2,Advertising!$B$65:$AU$68,4)</f>
        <v>#N/A</v>
      </c>
      <c r="K80" s="374" t="e">
        <f>HLOOKUP(K2,Advertising!$B$65:$AU$68,4)</f>
        <v>#N/A</v>
      </c>
      <c r="L80" s="374" t="e">
        <f>HLOOKUP(L2,Advertising!$B$65:$AU$68,4)</f>
        <v>#N/A</v>
      </c>
      <c r="M80" s="374" t="e">
        <f>HLOOKUP(M2,Advertising!$B$65:$AU$68,4)</f>
        <v>#N/A</v>
      </c>
      <c r="N80" s="374" t="e">
        <f>HLOOKUP(N2,Advertising!$B$65:$AU$68,4)</f>
        <v>#N/A</v>
      </c>
      <c r="O80" s="374" t="e">
        <f>HLOOKUP(O2,Advertising!$B$65:$AU$68,4)</f>
        <v>#N/A</v>
      </c>
      <c r="P80" s="397" t="e">
        <f>HLOOKUP(P2,Advertising!$B$65:$AU$68,4)</f>
        <v>#N/A</v>
      </c>
      <c r="Q80" s="374" t="e">
        <f>HLOOKUP(Q2,Advertising!$B$65:$AU$68,4)</f>
        <v>#N/A</v>
      </c>
      <c r="R80" s="374" t="e">
        <f>HLOOKUP(R2,Advertising!$B$65:$AU$68,4)</f>
        <v>#N/A</v>
      </c>
      <c r="S80" s="374" t="e">
        <f>HLOOKUP(S2,Advertising!$B$65:$AU$68,4)</f>
        <v>#N/A</v>
      </c>
      <c r="T80" s="374">
        <f>HLOOKUP(T2,Advertising!$B$65:$AU$68,4)</f>
        <v>-23290</v>
      </c>
      <c r="U80" s="374">
        <f>HLOOKUP(U2,Advertising!$B$65:$AU$68,4)</f>
        <v>-23290</v>
      </c>
      <c r="V80" s="374">
        <f>HLOOKUP(V2,Advertising!$B$65:$AU$68,4)</f>
        <v>-23305</v>
      </c>
      <c r="W80" s="374">
        <f>HLOOKUP(W2,Advertising!$B$65:$AU$68,4)</f>
        <v>-23320.224999999999</v>
      </c>
      <c r="X80" s="374">
        <f>HLOOKUP(X2,Advertising!$B$65:$AU$68,4)</f>
        <v>-23335.678375</v>
      </c>
      <c r="Y80" s="374">
        <f>HLOOKUP(Y2,Advertising!$B$65:$AU$68,4)</f>
        <v>-10946.363550624999</v>
      </c>
      <c r="Z80" s="374">
        <f>HLOOKUP(Z2,Advertising!$B$65:$AU$68,4)</f>
        <v>-10962.284003884375</v>
      </c>
      <c r="AA80" s="374">
        <f>HLOOKUP(AA2,Advertising!$B$65:$AU$68,4)</f>
        <v>72735.347632611767</v>
      </c>
      <c r="AB80" s="374">
        <f>HLOOKUP(AB2,Advertising!$B$65:$AU$68,4)</f>
        <v>78836.761625044921</v>
      </c>
      <c r="AC80" s="396">
        <f>HLOOKUP(AC2,Advertising!$B$65:$AU$68,4)</f>
        <v>85058.929402734808</v>
      </c>
      <c r="AD80" s="374">
        <f>HLOOKUP(AD2,Advertising!$B$65:$AU$68,4)</f>
        <v>96308.50298602879</v>
      </c>
      <c r="AE80" s="374">
        <f>HLOOKUP(AE2,Advertising!$B$65:$AU$68,4)</f>
        <v>122788.27850604465</v>
      </c>
      <c r="AF80" s="374">
        <f>HLOOKUP(AF2,Advertising!$B$65:$AU$68,4)</f>
        <v>134501.4229708905</v>
      </c>
      <c r="AG80" s="374">
        <f>HLOOKUP(AG2,Advertising!$B$65:$AU$68,4)</f>
        <v>146018.798731096</v>
      </c>
      <c r="AH80" s="374">
        <f>HLOOKUP(AH2,Advertising!$B$65:$AU$68,4)</f>
        <v>157734.05423589225</v>
      </c>
      <c r="AI80" s="374">
        <f>HLOOKUP(AI2,Advertising!$B$65:$AU$68,4)</f>
        <v>184651.28907585007</v>
      </c>
      <c r="AJ80" s="374">
        <f>HLOOKUP(AJ2,Advertising!$B$65:$AU$68,4)</f>
        <v>196775.12831567216</v>
      </c>
      <c r="AK80" s="374">
        <f>HLOOKUP(AK2,Advertising!$B$65:$AU$68,4)</f>
        <v>224110.80132336315</v>
      </c>
      <c r="AL80" s="374">
        <f>HLOOKUP(AL2,Advertising!$B$65:$AU$68,4)</f>
        <v>236664.23242389649</v>
      </c>
      <c r="AM80" s="374">
        <f>HLOOKUP(AM2,Advertising!$B$65:$AU$68,4)</f>
        <v>249442.14515105335</v>
      </c>
      <c r="AN80" s="397">
        <f>HLOOKUP(AN2,Advertising!$B$65:$AU$68,4)</f>
        <v>277452.18213716242</v>
      </c>
      <c r="AO80" s="374">
        <f>HLOOKUP(AO2,Advertising!$B$65:$AU$68,4)</f>
        <v>290703.04298642627</v>
      </c>
      <c r="AP80" s="374">
        <f>HLOOKUP(AP2,Advertising!$B$65:$AU$68,4)</f>
        <v>309089.00561138184</v>
      </c>
      <c r="AQ80" s="374">
        <f>HLOOKUP(AQ2,Advertising!$B$65:$AU$68,4)</f>
        <v>342821.62131206749</v>
      </c>
      <c r="AR80" s="374">
        <f>HLOOKUP(AR2,Advertising!$B$65:$AU$68,4)</f>
        <v>376914.11063957622</v>
      </c>
      <c r="AS80" s="374">
        <f>HLOOKUP(AS2,Advertising!$B$65:$AU$68,4)</f>
        <v>395327.78638795268</v>
      </c>
      <c r="AT80" s="374">
        <f>HLOOKUP(AT2,Advertising!$B$65:$AU$68,4)</f>
        <v>429064.79473363789</v>
      </c>
      <c r="AU80" s="374">
        <f>HLOOKUP(AU2,Advertising!$B$65:$AU$68,4)</f>
        <v>448143.92941528151</v>
      </c>
      <c r="AV80" s="374">
        <f>HLOOKUP(AV2,Advertising!$B$65:$AU$68,4)</f>
        <v>482586.71387286589</v>
      </c>
      <c r="AW80" s="374">
        <f>HLOOKUP(AW2,Advertising!$B$65:$AU$68,4)</f>
        <v>502417.81071253092</v>
      </c>
      <c r="AX80" s="374">
        <f>HLOOKUP(AX2,Advertising!$B$65:$AU$68,4)</f>
        <v>537665.49259126734</v>
      </c>
      <c r="AY80" s="374">
        <f>HLOOKUP(AY2,Advertising!$B$65:$AU$68,4)</f>
        <v>558362.18373446178</v>
      </c>
      <c r="AZ80" s="374">
        <f>HLOOKUP(AZ2,Advertising!$B$65:$AU$68,4)</f>
        <v>594545.08268121956</v>
      </c>
      <c r="BA80" s="396">
        <f>HLOOKUP(BA2,Advertising!$B$65:$AU$68,4)</f>
        <v>631256.87844163913</v>
      </c>
      <c r="BB80" s="374">
        <f>HLOOKUP(BB2,Advertising!$B$65:$AU$68,4)</f>
        <v>656465.1315920183</v>
      </c>
      <c r="BC80" s="374">
        <f>HLOOKUP(BC2,Advertising!$B$65:$AU$68,4)</f>
        <v>697346.18934729113</v>
      </c>
      <c r="BD80" s="374">
        <f>HLOOKUP(BD2,Advertising!$B$65:$AU$68,4)</f>
        <v>738964.78629802004</v>
      </c>
      <c r="BE80" s="374">
        <f>HLOOKUP(BE2,Advertising!$B$65:$AU$68,4)</f>
        <v>780592.23808843782</v>
      </c>
      <c r="BF80" s="374">
        <f>HLOOKUP(BF2,Advertising!$B$65:$AU$68,4)</f>
        <v>808076.86867551506</v>
      </c>
      <c r="BG80" s="374">
        <f>HLOOKUP(BG2,Advertising!$B$65:$AU$68,4)</f>
        <v>851515.46680802258</v>
      </c>
      <c r="BH80" s="374">
        <f>HLOOKUP(BH2,Advertising!$B$65:$AU$68,4)</f>
        <v>896019.25391315541</v>
      </c>
      <c r="BI80" s="374">
        <f>HLOOKUP(BI2,Advertising!$B$65:$AU$68,4)</f>
        <v>941716.04900980252</v>
      </c>
      <c r="BJ80" s="374">
        <f>HLOOKUP(BJ2,Advertising!$B$65:$AU$68,4)</f>
        <v>988752.7583589846</v>
      </c>
      <c r="BK80" s="374">
        <f>HLOOKUP(BK2,Advertising!$B$65:$AU$68,4)</f>
        <v>1037298.2385620276</v>
      </c>
      <c r="BL80" s="397">
        <f>HLOOKUP(BL2,Advertising!$B$65:$AU$68,4)</f>
        <v>1087546.5891236442</v>
      </c>
    </row>
    <row r="81" spans="1:64" ht="17" x14ac:dyDescent="0.25">
      <c r="A81" s="609"/>
      <c r="B81" s="607"/>
      <c r="C81" s="373" t="s">
        <v>498</v>
      </c>
      <c r="D81" s="402" t="s">
        <v>56</v>
      </c>
      <c r="E81" s="388">
        <f>E75-E78</f>
        <v>0</v>
      </c>
      <c r="F81" s="344">
        <f t="shared" ref="F81:BL81" si="667">F75-F78</f>
        <v>0</v>
      </c>
      <c r="G81" s="344">
        <f t="shared" si="667"/>
        <v>0</v>
      </c>
      <c r="H81" s="344">
        <f t="shared" si="667"/>
        <v>0</v>
      </c>
      <c r="I81" s="344">
        <f t="shared" si="667"/>
        <v>0</v>
      </c>
      <c r="J81" s="344">
        <f t="shared" si="667"/>
        <v>0</v>
      </c>
      <c r="K81" s="344">
        <f t="shared" si="667"/>
        <v>0</v>
      </c>
      <c r="L81" s="344">
        <f t="shared" si="667"/>
        <v>0</v>
      </c>
      <c r="M81" s="344">
        <f t="shared" si="667"/>
        <v>0</v>
      </c>
      <c r="N81" s="344">
        <f t="shared" si="667"/>
        <v>0</v>
      </c>
      <c r="O81" s="344">
        <f t="shared" si="667"/>
        <v>0</v>
      </c>
      <c r="P81" s="345">
        <f t="shared" si="667"/>
        <v>0</v>
      </c>
      <c r="Q81" s="344">
        <f t="shared" si="667"/>
        <v>0</v>
      </c>
      <c r="R81" s="344">
        <f t="shared" si="667"/>
        <v>0</v>
      </c>
      <c r="S81" s="344">
        <f t="shared" si="667"/>
        <v>0</v>
      </c>
      <c r="T81" s="344">
        <f t="shared" si="667"/>
        <v>0</v>
      </c>
      <c r="U81" s="344">
        <f t="shared" si="667"/>
        <v>0</v>
      </c>
      <c r="V81" s="344">
        <f t="shared" si="667"/>
        <v>0</v>
      </c>
      <c r="W81" s="344">
        <f t="shared" si="667"/>
        <v>0</v>
      </c>
      <c r="X81" s="344">
        <f t="shared" si="667"/>
        <v>0</v>
      </c>
      <c r="Y81" s="344">
        <f t="shared" si="667"/>
        <v>0</v>
      </c>
      <c r="Z81" s="344">
        <f t="shared" si="667"/>
        <v>0</v>
      </c>
      <c r="AA81" s="344">
        <f t="shared" si="667"/>
        <v>0</v>
      </c>
      <c r="AB81" s="344">
        <f t="shared" si="667"/>
        <v>0</v>
      </c>
      <c r="AC81" s="388">
        <f t="shared" si="667"/>
        <v>0</v>
      </c>
      <c r="AD81" s="344">
        <f t="shared" si="667"/>
        <v>0</v>
      </c>
      <c r="AE81" s="344">
        <f t="shared" si="667"/>
        <v>0</v>
      </c>
      <c r="AF81" s="344">
        <f t="shared" si="667"/>
        <v>0</v>
      </c>
      <c r="AG81" s="344">
        <f t="shared" si="667"/>
        <v>0</v>
      </c>
      <c r="AH81" s="344">
        <f t="shared" si="667"/>
        <v>0</v>
      </c>
      <c r="AI81" s="344">
        <f t="shared" si="667"/>
        <v>0</v>
      </c>
      <c r="AJ81" s="344">
        <f t="shared" si="667"/>
        <v>0</v>
      </c>
      <c r="AK81" s="344">
        <f t="shared" si="667"/>
        <v>0</v>
      </c>
      <c r="AL81" s="344">
        <f t="shared" si="667"/>
        <v>0</v>
      </c>
      <c r="AM81" s="344">
        <f t="shared" si="667"/>
        <v>0</v>
      </c>
      <c r="AN81" s="345">
        <f t="shared" si="667"/>
        <v>0</v>
      </c>
      <c r="AO81" s="344">
        <f t="shared" si="667"/>
        <v>0</v>
      </c>
      <c r="AP81" s="344">
        <f t="shared" si="667"/>
        <v>0</v>
      </c>
      <c r="AQ81" s="344">
        <f t="shared" si="667"/>
        <v>0</v>
      </c>
      <c r="AR81" s="344">
        <f t="shared" si="667"/>
        <v>0</v>
      </c>
      <c r="AS81" s="344">
        <f t="shared" si="667"/>
        <v>0</v>
      </c>
      <c r="AT81" s="344">
        <f t="shared" si="667"/>
        <v>0</v>
      </c>
      <c r="AU81" s="344">
        <f t="shared" si="667"/>
        <v>0</v>
      </c>
      <c r="AV81" s="344">
        <f t="shared" si="667"/>
        <v>0</v>
      </c>
      <c r="AW81" s="344">
        <f t="shared" si="667"/>
        <v>0</v>
      </c>
      <c r="AX81" s="344">
        <f t="shared" si="667"/>
        <v>0</v>
      </c>
      <c r="AY81" s="344">
        <f t="shared" si="667"/>
        <v>0</v>
      </c>
      <c r="AZ81" s="344">
        <f t="shared" si="667"/>
        <v>0</v>
      </c>
      <c r="BA81" s="388">
        <f t="shared" si="667"/>
        <v>0</v>
      </c>
      <c r="BB81" s="344">
        <f t="shared" si="667"/>
        <v>0</v>
      </c>
      <c r="BC81" s="344">
        <f t="shared" si="667"/>
        <v>0</v>
      </c>
      <c r="BD81" s="344">
        <f t="shared" si="667"/>
        <v>0</v>
      </c>
      <c r="BE81" s="344">
        <f t="shared" si="667"/>
        <v>0</v>
      </c>
      <c r="BF81" s="344">
        <f t="shared" si="667"/>
        <v>0</v>
      </c>
      <c r="BG81" s="344">
        <f t="shared" si="667"/>
        <v>0</v>
      </c>
      <c r="BH81" s="344">
        <f t="shared" si="667"/>
        <v>0</v>
      </c>
      <c r="BI81" s="344">
        <f t="shared" si="667"/>
        <v>0</v>
      </c>
      <c r="BJ81" s="344">
        <f t="shared" si="667"/>
        <v>0</v>
      </c>
      <c r="BK81" s="344">
        <f t="shared" si="667"/>
        <v>0</v>
      </c>
      <c r="BL81" s="345">
        <f t="shared" si="667"/>
        <v>0</v>
      </c>
    </row>
    <row r="82" spans="1:64" ht="17" thickBot="1" x14ac:dyDescent="0.3">
      <c r="A82" s="610"/>
      <c r="B82" s="611"/>
      <c r="C82" s="424" t="s">
        <v>507</v>
      </c>
      <c r="D82" s="404" t="s">
        <v>499</v>
      </c>
      <c r="E82" s="425" t="e">
        <f>E81-E80</f>
        <v>#N/A</v>
      </c>
      <c r="F82" s="359" t="e">
        <f t="shared" ref="F82" si="668">F81-F80</f>
        <v>#N/A</v>
      </c>
      <c r="G82" s="359" t="e">
        <f t="shared" ref="G82" si="669">G81-G80</f>
        <v>#N/A</v>
      </c>
      <c r="H82" s="359" t="e">
        <f t="shared" ref="H82" si="670">H81-H80</f>
        <v>#N/A</v>
      </c>
      <c r="I82" s="359" t="e">
        <f t="shared" ref="I82" si="671">I81-I80</f>
        <v>#N/A</v>
      </c>
      <c r="J82" s="359" t="e">
        <f t="shared" ref="J82" si="672">J81-J80</f>
        <v>#N/A</v>
      </c>
      <c r="K82" s="359" t="e">
        <f t="shared" ref="K82" si="673">K81-K80</f>
        <v>#N/A</v>
      </c>
      <c r="L82" s="359" t="e">
        <f t="shared" ref="L82" si="674">L81-L80</f>
        <v>#N/A</v>
      </c>
      <c r="M82" s="359" t="e">
        <f t="shared" ref="M82" si="675">M81-M80</f>
        <v>#N/A</v>
      </c>
      <c r="N82" s="359" t="e">
        <f t="shared" ref="N82" si="676">N81-N80</f>
        <v>#N/A</v>
      </c>
      <c r="O82" s="359" t="e">
        <f t="shared" ref="O82" si="677">O81-O80</f>
        <v>#N/A</v>
      </c>
      <c r="P82" s="360" t="e">
        <f t="shared" ref="P82" si="678">P81-P80</f>
        <v>#N/A</v>
      </c>
      <c r="Q82" s="359" t="e">
        <f t="shared" ref="Q82" si="679">Q81-Q80</f>
        <v>#N/A</v>
      </c>
      <c r="R82" s="359" t="e">
        <f t="shared" ref="R82" si="680">R81-R80</f>
        <v>#N/A</v>
      </c>
      <c r="S82" s="359" t="e">
        <f>S81-S80</f>
        <v>#N/A</v>
      </c>
      <c r="T82" s="359">
        <f t="shared" ref="T82" si="681">T81-T80</f>
        <v>23290</v>
      </c>
      <c r="U82" s="359">
        <f t="shared" ref="U82" si="682">U81-U80</f>
        <v>23290</v>
      </c>
      <c r="V82" s="359">
        <f t="shared" ref="V82" si="683">V81-V80</f>
        <v>23305</v>
      </c>
      <c r="W82" s="359">
        <f t="shared" ref="W82" si="684">W81-W80</f>
        <v>23320.224999999999</v>
      </c>
      <c r="X82" s="359">
        <f t="shared" ref="X82" si="685">X81-X80</f>
        <v>23335.678375</v>
      </c>
      <c r="Y82" s="359">
        <f t="shared" ref="Y82" si="686">Y81-Y80</f>
        <v>10946.363550624999</v>
      </c>
      <c r="Z82" s="359">
        <f t="shared" ref="Z82" si="687">Z81-Z80</f>
        <v>10962.284003884375</v>
      </c>
      <c r="AA82" s="359">
        <f t="shared" ref="AA82" si="688">AA81-AA80</f>
        <v>-72735.347632611767</v>
      </c>
      <c r="AB82" s="359">
        <f t="shared" ref="AB82" si="689">AB81-AB80</f>
        <v>-78836.761625044921</v>
      </c>
      <c r="AC82" s="425">
        <f t="shared" ref="AC82" si="690">AC81-AC80</f>
        <v>-85058.929402734808</v>
      </c>
      <c r="AD82" s="359">
        <f t="shared" ref="AD82" si="691">AD81-AD80</f>
        <v>-96308.50298602879</v>
      </c>
      <c r="AE82" s="359">
        <f t="shared" ref="AE82" si="692">AE81-AE80</f>
        <v>-122788.27850604465</v>
      </c>
      <c r="AF82" s="359">
        <f t="shared" ref="AF82" si="693">AF81-AF80</f>
        <v>-134501.4229708905</v>
      </c>
      <c r="AG82" s="359">
        <f t="shared" ref="AG82" si="694">AG81-AG80</f>
        <v>-146018.798731096</v>
      </c>
      <c r="AH82" s="359">
        <f t="shared" ref="AH82" si="695">AH81-AH80</f>
        <v>-157734.05423589225</v>
      </c>
      <c r="AI82" s="359">
        <f t="shared" ref="AI82" si="696">AI81-AI80</f>
        <v>-184651.28907585007</v>
      </c>
      <c r="AJ82" s="359">
        <f t="shared" ref="AJ82" si="697">AJ81-AJ80</f>
        <v>-196775.12831567216</v>
      </c>
      <c r="AK82" s="359">
        <f t="shared" ref="AK82" si="698">AK81-AK80</f>
        <v>-224110.80132336315</v>
      </c>
      <c r="AL82" s="359">
        <f t="shared" ref="AL82" si="699">AL81-AL80</f>
        <v>-236664.23242389649</v>
      </c>
      <c r="AM82" s="359">
        <f t="shared" ref="AM82" si="700">AM81-AM80</f>
        <v>-249442.14515105335</v>
      </c>
      <c r="AN82" s="360">
        <f t="shared" ref="AN82" si="701">AN81-AN80</f>
        <v>-277452.18213716242</v>
      </c>
      <c r="AO82" s="359">
        <f t="shared" ref="AO82" si="702">AO81-AO80</f>
        <v>-290703.04298642627</v>
      </c>
      <c r="AP82" s="359">
        <f t="shared" ref="AP82" si="703">AP81-AP80</f>
        <v>-309089.00561138184</v>
      </c>
      <c r="AQ82" s="359">
        <f t="shared" ref="AQ82" si="704">AQ81-AQ80</f>
        <v>-342821.62131206749</v>
      </c>
      <c r="AR82" s="359">
        <f t="shared" ref="AR82" si="705">AR81-AR80</f>
        <v>-376914.11063957622</v>
      </c>
      <c r="AS82" s="359">
        <f t="shared" ref="AS82" si="706">AS81-AS80</f>
        <v>-395327.78638795268</v>
      </c>
      <c r="AT82" s="359">
        <f t="shared" ref="AT82" si="707">AT81-AT80</f>
        <v>-429064.79473363789</v>
      </c>
      <c r="AU82" s="359">
        <f t="shared" ref="AU82" si="708">AU81-AU80</f>
        <v>-448143.92941528151</v>
      </c>
      <c r="AV82" s="359">
        <f t="shared" ref="AV82" si="709">AV81-AV80</f>
        <v>-482586.71387286589</v>
      </c>
      <c r="AW82" s="359">
        <f t="shared" ref="AW82" si="710">AW81-AW80</f>
        <v>-502417.81071253092</v>
      </c>
      <c r="AX82" s="359">
        <f t="shared" ref="AX82" si="711">AX81-AX80</f>
        <v>-537665.49259126734</v>
      </c>
      <c r="AY82" s="359">
        <f t="shared" ref="AY82" si="712">AY81-AY80</f>
        <v>-558362.18373446178</v>
      </c>
      <c r="AZ82" s="359">
        <f t="shared" ref="AZ82" si="713">AZ81-AZ80</f>
        <v>-594545.08268121956</v>
      </c>
      <c r="BA82" s="425">
        <f t="shared" ref="BA82" si="714">BA81-BA80</f>
        <v>-631256.87844163913</v>
      </c>
      <c r="BB82" s="359">
        <f t="shared" ref="BB82" si="715">BB81-BB80</f>
        <v>-656465.1315920183</v>
      </c>
      <c r="BC82" s="359">
        <f t="shared" ref="BC82" si="716">BC81-BC80</f>
        <v>-697346.18934729113</v>
      </c>
      <c r="BD82" s="359">
        <f t="shared" ref="BD82" si="717">BD81-BD80</f>
        <v>-738964.78629802004</v>
      </c>
      <c r="BE82" s="359">
        <f t="shared" ref="BE82" si="718">BE81-BE80</f>
        <v>-780592.23808843782</v>
      </c>
      <c r="BF82" s="359">
        <f t="shared" ref="BF82" si="719">BF81-BF80</f>
        <v>-808076.86867551506</v>
      </c>
      <c r="BG82" s="359">
        <f t="shared" ref="BG82" si="720">BG81-BG80</f>
        <v>-851515.46680802258</v>
      </c>
      <c r="BH82" s="359">
        <f t="shared" ref="BH82" si="721">BH81-BH80</f>
        <v>-896019.25391315541</v>
      </c>
      <c r="BI82" s="359">
        <f t="shared" ref="BI82" si="722">BI81-BI80</f>
        <v>-941716.04900980252</v>
      </c>
      <c r="BJ82" s="359">
        <f t="shared" ref="BJ82" si="723">BJ81-BJ80</f>
        <v>-988752.7583589846</v>
      </c>
      <c r="BK82" s="359">
        <f t="shared" ref="BK82" si="724">BK81-BK80</f>
        <v>-1037298.2385620276</v>
      </c>
      <c r="BL82" s="360">
        <f t="shared" ref="BL82" si="725">BL81-BL80</f>
        <v>-1087546.5891236442</v>
      </c>
    </row>
    <row r="83" spans="1:64" ht="17" x14ac:dyDescent="0.25">
      <c r="A83" s="608">
        <v>6</v>
      </c>
      <c r="B83" s="606" t="str">
        <f>'Sponsoring marketplace'!A1</f>
        <v>BM4 : Sponsoring marketplace</v>
      </c>
      <c r="C83" s="420" t="s">
        <v>497</v>
      </c>
      <c r="D83" s="405" t="s">
        <v>518</v>
      </c>
      <c r="E83" s="421">
        <f>'Sponsoring marketplace'!B16</f>
        <v>180</v>
      </c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422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423"/>
      <c r="AD83" s="329"/>
      <c r="AE83" s="329"/>
      <c r="AF83" s="329"/>
      <c r="AG83" s="329"/>
      <c r="AH83" s="329"/>
      <c r="AI83" s="329"/>
      <c r="AJ83" s="329"/>
      <c r="AK83" s="329"/>
      <c r="AL83" s="329"/>
      <c r="AM83" s="329"/>
      <c r="AN83" s="422"/>
      <c r="AO83" s="329"/>
      <c r="AP83" s="329"/>
      <c r="AQ83" s="329"/>
      <c r="AR83" s="329"/>
      <c r="AS83" s="329"/>
      <c r="AT83" s="329"/>
      <c r="AU83" s="329"/>
      <c r="AV83" s="329"/>
      <c r="AW83" s="329"/>
      <c r="AX83" s="329"/>
      <c r="AY83" s="329"/>
      <c r="AZ83" s="329"/>
      <c r="BA83" s="423"/>
      <c r="BB83" s="329"/>
      <c r="BC83" s="329"/>
      <c r="BD83" s="329"/>
      <c r="BE83" s="329"/>
      <c r="BF83" s="329"/>
      <c r="BG83" s="329"/>
      <c r="BH83" s="329"/>
      <c r="BI83" s="329"/>
      <c r="BJ83" s="329"/>
      <c r="BK83" s="329"/>
      <c r="BL83" s="422"/>
    </row>
    <row r="84" spans="1:64" ht="17" x14ac:dyDescent="0.25">
      <c r="A84" s="609"/>
      <c r="B84" s="607"/>
      <c r="C84" s="373" t="s">
        <v>498</v>
      </c>
      <c r="D84" s="402" t="s">
        <v>518</v>
      </c>
      <c r="E84" s="409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352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399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352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399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352"/>
    </row>
    <row r="85" spans="1:64" x14ac:dyDescent="0.25">
      <c r="A85" s="609"/>
      <c r="B85" s="607"/>
      <c r="C85" s="370" t="s">
        <v>507</v>
      </c>
      <c r="D85" s="403" t="s">
        <v>499</v>
      </c>
      <c r="E85" s="410">
        <f>E84-E83</f>
        <v>-180</v>
      </c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352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399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352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399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352"/>
    </row>
    <row r="86" spans="1:64" ht="17" x14ac:dyDescent="0.25">
      <c r="A86" s="609"/>
      <c r="B86" s="607"/>
      <c r="C86" s="372" t="s">
        <v>497</v>
      </c>
      <c r="D86" s="401" t="s">
        <v>519</v>
      </c>
      <c r="E86" s="408" cm="1">
        <f t="array" ref="E86:F86">'Sponsoring marketplace'!B13:C13</f>
        <v>11</v>
      </c>
      <c r="F86" s="53">
        <v>0</v>
      </c>
      <c r="G86" s="53"/>
      <c r="H86" s="53"/>
      <c r="I86" s="53"/>
      <c r="J86" s="53"/>
      <c r="K86" s="53"/>
      <c r="L86" s="53"/>
      <c r="M86" s="53"/>
      <c r="N86" s="53"/>
      <c r="O86" s="53"/>
      <c r="P86" s="352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399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352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399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352"/>
    </row>
    <row r="87" spans="1:64" ht="17" x14ac:dyDescent="0.25">
      <c r="A87" s="609"/>
      <c r="B87" s="607"/>
      <c r="C87" s="373" t="s">
        <v>498</v>
      </c>
      <c r="D87" s="402" t="s">
        <v>519</v>
      </c>
      <c r="E87" s="409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352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399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352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399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352"/>
    </row>
    <row r="88" spans="1:64" x14ac:dyDescent="0.25">
      <c r="A88" s="609"/>
      <c r="B88" s="607"/>
      <c r="C88" s="370" t="s">
        <v>507</v>
      </c>
      <c r="D88" s="403" t="s">
        <v>499</v>
      </c>
      <c r="E88" s="410">
        <f>E87-E86</f>
        <v>-11</v>
      </c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352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399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352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399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352"/>
    </row>
    <row r="89" spans="1:64" ht="17" x14ac:dyDescent="0.25">
      <c r="A89" s="609"/>
      <c r="B89" s="607"/>
      <c r="C89" s="372" t="s">
        <v>497</v>
      </c>
      <c r="D89" s="401" t="s">
        <v>521</v>
      </c>
      <c r="E89" s="396">
        <f>'Sponsoring marketplace'!F13</f>
        <v>115990</v>
      </c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352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399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352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399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352"/>
    </row>
    <row r="90" spans="1:64" ht="17" x14ac:dyDescent="0.25">
      <c r="A90" s="609"/>
      <c r="B90" s="607"/>
      <c r="C90" s="373" t="s">
        <v>498</v>
      </c>
      <c r="D90" s="402" t="s">
        <v>519</v>
      </c>
      <c r="E90" s="388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352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399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352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399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352"/>
    </row>
    <row r="91" spans="1:64" x14ac:dyDescent="0.25">
      <c r="A91" s="609"/>
      <c r="B91" s="607"/>
      <c r="C91" s="370" t="s">
        <v>507</v>
      </c>
      <c r="D91" s="403" t="s">
        <v>499</v>
      </c>
      <c r="E91" s="413">
        <f>E90-E89</f>
        <v>-115990</v>
      </c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352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399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352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399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352"/>
    </row>
    <row r="92" spans="1:64" ht="17" x14ac:dyDescent="0.25">
      <c r="A92" s="609"/>
      <c r="B92" s="607"/>
      <c r="C92" s="372" t="s">
        <v>497</v>
      </c>
      <c r="D92" s="401" t="s">
        <v>520</v>
      </c>
      <c r="E92" s="408">
        <f>'Sponsoring marketplace'!B19</f>
        <v>60</v>
      </c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352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399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352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399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352"/>
    </row>
    <row r="93" spans="1:64" ht="17" x14ac:dyDescent="0.25">
      <c r="A93" s="609"/>
      <c r="B93" s="607"/>
      <c r="C93" s="373" t="s">
        <v>498</v>
      </c>
      <c r="D93" s="402" t="s">
        <v>520</v>
      </c>
      <c r="E93" s="409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352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399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352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399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352"/>
    </row>
    <row r="94" spans="1:64" x14ac:dyDescent="0.25">
      <c r="A94" s="609"/>
      <c r="B94" s="607"/>
      <c r="C94" s="370" t="s">
        <v>507</v>
      </c>
      <c r="D94" s="403" t="s">
        <v>499</v>
      </c>
      <c r="E94" s="410">
        <f>E93-E92</f>
        <v>-60</v>
      </c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352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399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352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399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352"/>
    </row>
    <row r="95" spans="1:64" ht="17" x14ac:dyDescent="0.25">
      <c r="A95" s="609"/>
      <c r="B95" s="607"/>
      <c r="C95" s="372" t="s">
        <v>497</v>
      </c>
      <c r="D95" s="401" t="s">
        <v>522</v>
      </c>
      <c r="E95" s="408">
        <f>'Sponsoring marketplace'!M13</f>
        <v>18942</v>
      </c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352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399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352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399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352"/>
    </row>
    <row r="96" spans="1:64" ht="17" x14ac:dyDescent="0.25">
      <c r="A96" s="609"/>
      <c r="B96" s="607"/>
      <c r="C96" s="373" t="s">
        <v>498</v>
      </c>
      <c r="D96" s="402" t="s">
        <v>522</v>
      </c>
      <c r="E96" s="409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352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399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352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399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352"/>
    </row>
    <row r="97" spans="1:64" x14ac:dyDescent="0.25">
      <c r="A97" s="609"/>
      <c r="B97" s="607"/>
      <c r="C97" s="370" t="s">
        <v>507</v>
      </c>
      <c r="D97" s="403" t="s">
        <v>499</v>
      </c>
      <c r="E97" s="410">
        <f>E96-E95</f>
        <v>-18942</v>
      </c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352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399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352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399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352"/>
    </row>
    <row r="98" spans="1:64" ht="17" x14ac:dyDescent="0.25">
      <c r="A98" s="609"/>
      <c r="B98" s="607"/>
      <c r="C98" s="372" t="s">
        <v>497</v>
      </c>
      <c r="D98" s="401" t="s">
        <v>410</v>
      </c>
      <c r="E98" s="408">
        <f>'Sponsoring marketplace'!B77</f>
        <v>8</v>
      </c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352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399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352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399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352"/>
    </row>
    <row r="99" spans="1:64" ht="17" x14ac:dyDescent="0.25">
      <c r="A99" s="609"/>
      <c r="B99" s="607"/>
      <c r="C99" s="373" t="s">
        <v>498</v>
      </c>
      <c r="D99" s="402" t="str">
        <f>D98</f>
        <v>N° of months before 1st revenues</v>
      </c>
      <c r="E99" s="409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352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399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352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399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352"/>
    </row>
    <row r="100" spans="1:64" x14ac:dyDescent="0.25">
      <c r="A100" s="609"/>
      <c r="B100" s="607"/>
      <c r="C100" s="370" t="s">
        <v>507</v>
      </c>
      <c r="D100" s="403" t="s">
        <v>499</v>
      </c>
      <c r="E100" s="410">
        <f>E99-E98</f>
        <v>-8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352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399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352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399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352"/>
    </row>
    <row r="101" spans="1:64" ht="17" x14ac:dyDescent="0.25">
      <c r="A101" s="609"/>
      <c r="B101" s="607"/>
      <c r="C101" s="372" t="s">
        <v>497</v>
      </c>
      <c r="D101" s="401" t="s">
        <v>409</v>
      </c>
      <c r="E101" s="408">
        <f>'Sponsoring marketplace'!B78</f>
        <v>10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352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399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352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399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352"/>
    </row>
    <row r="102" spans="1:64" ht="17" x14ac:dyDescent="0.25">
      <c r="A102" s="609"/>
      <c r="B102" s="607"/>
      <c r="C102" s="373" t="s">
        <v>498</v>
      </c>
      <c r="D102" s="402" t="str">
        <f>D101</f>
        <v>N° of months before breakeven</v>
      </c>
      <c r="E102" s="409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352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399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352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399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352"/>
    </row>
    <row r="103" spans="1:64" x14ac:dyDescent="0.25">
      <c r="A103" s="609"/>
      <c r="B103" s="607"/>
      <c r="C103" s="370" t="s">
        <v>507</v>
      </c>
      <c r="D103" s="403" t="s">
        <v>499</v>
      </c>
      <c r="E103" s="410">
        <f>E102-E101</f>
        <v>-10</v>
      </c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352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399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352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399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352"/>
    </row>
    <row r="104" spans="1:64" ht="17" x14ac:dyDescent="0.25">
      <c r="A104" s="609"/>
      <c r="B104" s="607"/>
      <c r="C104" s="372" t="s">
        <v>497</v>
      </c>
      <c r="D104" s="402" t="s">
        <v>523</v>
      </c>
      <c r="E104" s="394" t="e">
        <f>HLOOKUP(E2,'Sponsoring marketplace'!$B$37:$BD$42,6)</f>
        <v>#N/A</v>
      </c>
      <c r="F104" s="327" t="e">
        <f>HLOOKUP(F2,'Sponsoring marketplace'!$B$37:$BD$42,6)</f>
        <v>#N/A</v>
      </c>
      <c r="G104" s="327" t="e">
        <f>HLOOKUP(G2,'Sponsoring marketplace'!$B$37:$BD$42,6)</f>
        <v>#N/A</v>
      </c>
      <c r="H104" s="327" t="e">
        <f>HLOOKUP(H2,'Sponsoring marketplace'!$B$37:$BD$42,6)</f>
        <v>#N/A</v>
      </c>
      <c r="I104" s="327" t="e">
        <f>HLOOKUP(I2,'Sponsoring marketplace'!$B$37:$BD$42,6)</f>
        <v>#N/A</v>
      </c>
      <c r="J104" s="327" t="e">
        <f>HLOOKUP(J2,'Sponsoring marketplace'!$B$37:$BD$42,6)</f>
        <v>#N/A</v>
      </c>
      <c r="K104" s="327" t="e">
        <f>HLOOKUP(K2,'Sponsoring marketplace'!$B$37:$BD$42,6)</f>
        <v>#N/A</v>
      </c>
      <c r="L104" s="327" t="e">
        <f>HLOOKUP(L2,'Sponsoring marketplace'!$B$37:$BD$42,6)</f>
        <v>#N/A</v>
      </c>
      <c r="M104" s="327" t="e">
        <f>HLOOKUP(M2,'Sponsoring marketplace'!$B$37:$BD$42,6)</f>
        <v>#N/A</v>
      </c>
      <c r="N104" s="327" t="e">
        <f>HLOOKUP(N2,'Sponsoring marketplace'!$B$37:$BD$42,6)</f>
        <v>#N/A</v>
      </c>
      <c r="O104" s="327" t="e">
        <f>HLOOKUP(O2,'Sponsoring marketplace'!$B$37:$BD$42,6)</f>
        <v>#N/A</v>
      </c>
      <c r="P104" s="334" t="e">
        <f>HLOOKUP(P2,'Sponsoring marketplace'!$B$37:$BD$42,6)</f>
        <v>#N/A</v>
      </c>
      <c r="Q104" s="327" t="e">
        <f>HLOOKUP(Q2,'Sponsoring marketplace'!$B$37:$BD$42,6)</f>
        <v>#N/A</v>
      </c>
      <c r="R104" s="327">
        <f>HLOOKUP(R2,'Sponsoring marketplace'!$B$37:$BD$42,6)</f>
        <v>0</v>
      </c>
      <c r="S104" s="327">
        <f>HLOOKUP(S2,'Sponsoring marketplace'!$B$37:$BD$42,6)</f>
        <v>0</v>
      </c>
      <c r="T104" s="327">
        <f>HLOOKUP(T2,'Sponsoring marketplace'!$B$37:$BD$42,6)</f>
        <v>0</v>
      </c>
      <c r="U104" s="327">
        <f>HLOOKUP(U2,'Sponsoring marketplace'!$B$37:$BD$42,6)</f>
        <v>0</v>
      </c>
      <c r="V104" s="327">
        <f>HLOOKUP(V2,'Sponsoring marketplace'!$B$37:$BD$42,6)</f>
        <v>0</v>
      </c>
      <c r="W104" s="327">
        <f>HLOOKUP(W2,'Sponsoring marketplace'!$B$37:$BD$42,6)</f>
        <v>0</v>
      </c>
      <c r="X104" s="327">
        <f>HLOOKUP(X2,'Sponsoring marketplace'!$B$37:$BD$42,6)</f>
        <v>0</v>
      </c>
      <c r="Y104" s="327">
        <f>HLOOKUP(Y2,'Sponsoring marketplace'!$B$37:$BD$42,6)</f>
        <v>0</v>
      </c>
      <c r="Z104" s="327">
        <f>HLOOKUP(Z2,'Sponsoring marketplace'!$B$37:$BD$42,6)</f>
        <v>0</v>
      </c>
      <c r="AA104" s="327">
        <f>HLOOKUP(AA2,'Sponsoring marketplace'!$B$37:$BD$42,6)</f>
        <v>94.910233523867461</v>
      </c>
      <c r="AB104" s="327">
        <f>HLOOKUP(AB2,'Sponsoring marketplace'!$B$37:$BD$42,6)</f>
        <v>109.34824121335933</v>
      </c>
      <c r="AC104" s="429">
        <f>HLOOKUP(AC2,'Sponsoring marketplace'!$B$37:$BD$42,6)</f>
        <v>128.63432494187023</v>
      </c>
      <c r="AD104" s="327">
        <f>HLOOKUP(AD2,'Sponsoring marketplace'!$B$37:$BD$42,6)</f>
        <v>160.97654750633316</v>
      </c>
      <c r="AE104" s="327">
        <f>HLOOKUP(AE2,'Sponsoring marketplace'!$B$37:$BD$42,6)</f>
        <v>197.81730606883204</v>
      </c>
      <c r="AF104" s="327">
        <f>HLOOKUP(AF2,'Sponsoring marketplace'!$B$37:$BD$42,6)</f>
        <v>239.68652247266655</v>
      </c>
      <c r="AG104" s="327">
        <f>HLOOKUP(AG2,'Sponsoring marketplace'!$B$37:$BD$42,6)</f>
        <v>287.17278984115791</v>
      </c>
      <c r="AH104" s="327">
        <f>HLOOKUP(AH2,'Sponsoring marketplace'!$B$37:$BD$42,6)</f>
        <v>340.92989769191598</v>
      </c>
      <c r="AI104" s="327">
        <f>HLOOKUP(AI2,'Sponsoring marketplace'!$B$37:$BD$42,6)</f>
        <v>401.68414420189652</v>
      </c>
      <c r="AJ104" s="327">
        <f>HLOOKUP(AJ2,'Sponsoring marketplace'!$B$37:$BD$42,6)</f>
        <v>470.24254775959156</v>
      </c>
      <c r="AK104" s="327">
        <f>HLOOKUP(AK2,'Sponsoring marketplace'!$B$37:$BD$42,6)</f>
        <v>547.5020895489464</v>
      </c>
      <c r="AL104" s="327">
        <f>HLOOKUP(AL2,'Sponsoring marketplace'!$B$37:$BD$42,6)</f>
        <v>634.46014255507373</v>
      </c>
      <c r="AM104" s="327">
        <f>HLOOKUP(AM2,'Sponsoring marketplace'!$B$37:$BD$42,6)</f>
        <v>732.22627097607756</v>
      </c>
      <c r="AN104" s="334">
        <f>HLOOKUP(AN2,'Sponsoring marketplace'!$B$37:$BD$42,6)</f>
        <v>842.03561869444331</v>
      </c>
      <c r="AO104" s="327">
        <f>HLOOKUP(AO2,'Sponsoring marketplace'!$B$37:$BD$42,6)</f>
        <v>965.26414759767727</v>
      </c>
      <c r="AP104" s="327">
        <f>HLOOKUP(AP2,'Sponsoring marketplace'!$B$37:$BD$42,6)</f>
        <v>1130.1153466077055</v>
      </c>
      <c r="AQ104" s="327">
        <f>HLOOKUP(AQ2,'Sponsoring marketplace'!$B$37:$BD$42,6)</f>
        <v>1316.0426296336175</v>
      </c>
      <c r="AR104" s="327">
        <f>HLOOKUP(AR2,'Sponsoring marketplace'!$B$37:$BD$42,6)</f>
        <v>1525.5058547419983</v>
      </c>
      <c r="AS104" s="327">
        <f>HLOOKUP(AS2,'Sponsoring marketplace'!$B$37:$BD$42,6)</f>
        <v>1761.2525401508067</v>
      </c>
      <c r="AT104" s="327">
        <f>HLOOKUP(AT2,'Sponsoring marketplace'!$B$37:$BD$42,6)</f>
        <v>2026.3547117397818</v>
      </c>
      <c r="AU104" s="327">
        <f>HLOOKUP(AU2,'Sponsoring marketplace'!$B$37:$BD$42,6)</f>
        <v>2324.2513582050924</v>
      </c>
      <c r="AV104" s="327">
        <f>HLOOKUP(AV2,'Sponsoring marketplace'!$B$37:$BD$42,6)</f>
        <v>2658.7975282470525</v>
      </c>
      <c r="AW104" s="327">
        <f>HLOOKUP(AW2,'Sponsoring marketplace'!$B$37:$BD$42,6)</f>
        <v>3034.3213238282642</v>
      </c>
      <c r="AX104" s="327">
        <f>HLOOKUP(AX2,'Sponsoring marketplace'!$B$37:$BD$42,6)</f>
        <v>3455.6903134822292</v>
      </c>
      <c r="AY104" s="327">
        <f>HLOOKUP(AY2,'Sponsoring marketplace'!$B$37:$BD$42,6)</f>
        <v>3928.3892217971807</v>
      </c>
      <c r="AZ104" s="327">
        <f>HLOOKUP(AZ2,'Sponsoring marketplace'!$B$37:$BD$42,6)</f>
        <v>4458.611160313123</v>
      </c>
      <c r="BA104" s="429">
        <f>HLOOKUP(BA2,'Sponsoring marketplace'!$B$37:$BD$42,6)</f>
        <v>5053.3651694651444</v>
      </c>
      <c r="BB104" s="327">
        <f>HLOOKUP(BB2,'Sponsoring marketplace'!$B$37:$BD$42,6)</f>
        <v>5760.8981773902869</v>
      </c>
      <c r="BC104" s="327">
        <f>HLOOKUP(BC2,'Sponsoring marketplace'!$B$37:$BD$42,6)</f>
        <v>6556.6256303676464</v>
      </c>
      <c r="BD104" s="327">
        <f>HLOOKUP(BD2,'Sponsoring marketplace'!$B$37:$BD$42,6)</f>
        <v>7451.6940113046603</v>
      </c>
      <c r="BE104" s="327">
        <f>HLOOKUP(BE2,'Sponsoring marketplace'!$B$37:$BD$42,6)</f>
        <v>8458.8457039645982</v>
      </c>
      <c r="BF104" s="327">
        <f>HLOOKUP(BF2,'Sponsoring marketplace'!$B$37:$BD$42,6)</f>
        <v>9592.6456483835773</v>
      </c>
      <c r="BG104" s="327">
        <f>HLOOKUP(BG2,'Sponsoring marketplace'!$B$37:$BD$42,6)</f>
        <v>10869.839838897109</v>
      </c>
      <c r="BH104" s="327">
        <f>HLOOKUP(BH2,'Sponsoring marketplace'!$B$37:$BD$42,6)</f>
        <v>12309.730458811129</v>
      </c>
      <c r="BI104" s="327">
        <f>HLOOKUP(BI2,'Sponsoring marketplace'!$B$37:$BD$42,6)</f>
        <v>13934.642345262024</v>
      </c>
      <c r="BJ104" s="327">
        <f>HLOOKUP(BJ2,'Sponsoring marketplace'!$B$37:$BD$42,6)</f>
        <v>15770.48743816778</v>
      </c>
      <c r="BK104" s="327">
        <f>HLOOKUP(BK2,'Sponsoring marketplace'!$B$37:$BD$42,6)</f>
        <v>17847.449504147247</v>
      </c>
      <c r="BL104" s="334">
        <f>HLOOKUP(BL2,'Sponsoring marketplace'!$B$37:$BD$42,6)</f>
        <v>20200.81668776703</v>
      </c>
    </row>
    <row r="105" spans="1:64" ht="17" x14ac:dyDescent="0.25">
      <c r="A105" s="609"/>
      <c r="B105" s="607"/>
      <c r="C105" s="343" t="s">
        <v>498</v>
      </c>
      <c r="D105" s="402" t="s">
        <v>523</v>
      </c>
      <c r="E105" s="39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6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9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6"/>
      <c r="AO105" s="355"/>
      <c r="AP105" s="355"/>
      <c r="AQ105" s="355"/>
      <c r="AR105" s="355"/>
      <c r="AS105" s="355"/>
      <c r="AT105" s="355"/>
      <c r="AU105" s="355"/>
      <c r="AV105" s="355"/>
      <c r="AW105" s="355"/>
      <c r="AX105" s="355"/>
      <c r="AY105" s="355"/>
      <c r="AZ105" s="355"/>
      <c r="BA105" s="395"/>
      <c r="BB105" s="355"/>
      <c r="BC105" s="355"/>
      <c r="BD105" s="355"/>
      <c r="BE105" s="355"/>
      <c r="BF105" s="355"/>
      <c r="BG105" s="355"/>
      <c r="BH105" s="355"/>
      <c r="BI105" s="355"/>
      <c r="BJ105" s="355"/>
      <c r="BK105" s="355"/>
      <c r="BL105" s="356"/>
    </row>
    <row r="106" spans="1:64" x14ac:dyDescent="0.25">
      <c r="A106" s="609"/>
      <c r="B106" s="607"/>
      <c r="C106" s="325" t="s">
        <v>507</v>
      </c>
      <c r="D106" s="402" t="s">
        <v>499</v>
      </c>
      <c r="E106" s="385">
        <f t="shared" ref="E106:AJ106" si="726">(E105-E103)/E103</f>
        <v>-1</v>
      </c>
      <c r="F106" s="326" t="e">
        <f t="shared" si="726"/>
        <v>#DIV/0!</v>
      </c>
      <c r="G106" s="326" t="e">
        <f t="shared" si="726"/>
        <v>#DIV/0!</v>
      </c>
      <c r="H106" s="326" t="e">
        <f t="shared" si="726"/>
        <v>#DIV/0!</v>
      </c>
      <c r="I106" s="326" t="e">
        <f t="shared" si="726"/>
        <v>#DIV/0!</v>
      </c>
      <c r="J106" s="326" t="e">
        <f t="shared" si="726"/>
        <v>#DIV/0!</v>
      </c>
      <c r="K106" s="326" t="e">
        <f t="shared" si="726"/>
        <v>#DIV/0!</v>
      </c>
      <c r="L106" s="326" t="e">
        <f t="shared" si="726"/>
        <v>#DIV/0!</v>
      </c>
      <c r="M106" s="326" t="e">
        <f t="shared" si="726"/>
        <v>#DIV/0!</v>
      </c>
      <c r="N106" s="326" t="e">
        <f t="shared" si="726"/>
        <v>#DIV/0!</v>
      </c>
      <c r="O106" s="326" t="e">
        <f t="shared" si="726"/>
        <v>#DIV/0!</v>
      </c>
      <c r="P106" s="333" t="e">
        <f t="shared" si="726"/>
        <v>#DIV/0!</v>
      </c>
      <c r="Q106" s="326" t="e">
        <f t="shared" si="726"/>
        <v>#DIV/0!</v>
      </c>
      <c r="R106" s="326" t="e">
        <f t="shared" si="726"/>
        <v>#DIV/0!</v>
      </c>
      <c r="S106" s="326" t="e">
        <f t="shared" si="726"/>
        <v>#DIV/0!</v>
      </c>
      <c r="T106" s="326" t="e">
        <f t="shared" si="726"/>
        <v>#DIV/0!</v>
      </c>
      <c r="U106" s="326" t="e">
        <f t="shared" si="726"/>
        <v>#DIV/0!</v>
      </c>
      <c r="V106" s="326" t="e">
        <f t="shared" si="726"/>
        <v>#DIV/0!</v>
      </c>
      <c r="W106" s="326" t="e">
        <f t="shared" si="726"/>
        <v>#DIV/0!</v>
      </c>
      <c r="X106" s="326" t="e">
        <f t="shared" si="726"/>
        <v>#DIV/0!</v>
      </c>
      <c r="Y106" s="326" t="e">
        <f t="shared" si="726"/>
        <v>#DIV/0!</v>
      </c>
      <c r="Z106" s="326" t="e">
        <f t="shared" si="726"/>
        <v>#DIV/0!</v>
      </c>
      <c r="AA106" s="326" t="e">
        <f t="shared" si="726"/>
        <v>#DIV/0!</v>
      </c>
      <c r="AB106" s="326" t="e">
        <f t="shared" si="726"/>
        <v>#DIV/0!</v>
      </c>
      <c r="AC106" s="385" t="e">
        <f t="shared" si="726"/>
        <v>#DIV/0!</v>
      </c>
      <c r="AD106" s="326" t="e">
        <f t="shared" si="726"/>
        <v>#DIV/0!</v>
      </c>
      <c r="AE106" s="326" t="e">
        <f t="shared" si="726"/>
        <v>#DIV/0!</v>
      </c>
      <c r="AF106" s="326" t="e">
        <f t="shared" si="726"/>
        <v>#DIV/0!</v>
      </c>
      <c r="AG106" s="326" t="e">
        <f t="shared" si="726"/>
        <v>#DIV/0!</v>
      </c>
      <c r="AH106" s="326" t="e">
        <f t="shared" si="726"/>
        <v>#DIV/0!</v>
      </c>
      <c r="AI106" s="326" t="e">
        <f t="shared" si="726"/>
        <v>#DIV/0!</v>
      </c>
      <c r="AJ106" s="326" t="e">
        <f t="shared" si="726"/>
        <v>#DIV/0!</v>
      </c>
      <c r="AK106" s="326" t="e">
        <f t="shared" ref="AK106:BL106" si="727">(AK105-AK103)/AK103</f>
        <v>#DIV/0!</v>
      </c>
      <c r="AL106" s="326" t="e">
        <f t="shared" si="727"/>
        <v>#DIV/0!</v>
      </c>
      <c r="AM106" s="326" t="e">
        <f t="shared" si="727"/>
        <v>#DIV/0!</v>
      </c>
      <c r="AN106" s="333" t="e">
        <f t="shared" si="727"/>
        <v>#DIV/0!</v>
      </c>
      <c r="AO106" s="326" t="e">
        <f t="shared" si="727"/>
        <v>#DIV/0!</v>
      </c>
      <c r="AP106" s="326" t="e">
        <f t="shared" si="727"/>
        <v>#DIV/0!</v>
      </c>
      <c r="AQ106" s="326" t="e">
        <f t="shared" si="727"/>
        <v>#DIV/0!</v>
      </c>
      <c r="AR106" s="326" t="e">
        <f t="shared" si="727"/>
        <v>#DIV/0!</v>
      </c>
      <c r="AS106" s="326" t="e">
        <f t="shared" si="727"/>
        <v>#DIV/0!</v>
      </c>
      <c r="AT106" s="326" t="e">
        <f t="shared" si="727"/>
        <v>#DIV/0!</v>
      </c>
      <c r="AU106" s="326" t="e">
        <f t="shared" si="727"/>
        <v>#DIV/0!</v>
      </c>
      <c r="AV106" s="326" t="e">
        <f t="shared" si="727"/>
        <v>#DIV/0!</v>
      </c>
      <c r="AW106" s="326" t="e">
        <f t="shared" si="727"/>
        <v>#DIV/0!</v>
      </c>
      <c r="AX106" s="326" t="e">
        <f t="shared" si="727"/>
        <v>#DIV/0!</v>
      </c>
      <c r="AY106" s="326" t="e">
        <f t="shared" si="727"/>
        <v>#DIV/0!</v>
      </c>
      <c r="AZ106" s="326" t="e">
        <f t="shared" si="727"/>
        <v>#DIV/0!</v>
      </c>
      <c r="BA106" s="385" t="e">
        <f t="shared" si="727"/>
        <v>#DIV/0!</v>
      </c>
      <c r="BB106" s="326" t="e">
        <f t="shared" si="727"/>
        <v>#DIV/0!</v>
      </c>
      <c r="BC106" s="326" t="e">
        <f t="shared" si="727"/>
        <v>#DIV/0!</v>
      </c>
      <c r="BD106" s="326" t="e">
        <f t="shared" si="727"/>
        <v>#DIV/0!</v>
      </c>
      <c r="BE106" s="326" t="e">
        <f t="shared" si="727"/>
        <v>#DIV/0!</v>
      </c>
      <c r="BF106" s="326" t="e">
        <f t="shared" si="727"/>
        <v>#DIV/0!</v>
      </c>
      <c r="BG106" s="326" t="e">
        <f t="shared" si="727"/>
        <v>#DIV/0!</v>
      </c>
      <c r="BH106" s="326" t="e">
        <f t="shared" si="727"/>
        <v>#DIV/0!</v>
      </c>
      <c r="BI106" s="326" t="e">
        <f t="shared" si="727"/>
        <v>#DIV/0!</v>
      </c>
      <c r="BJ106" s="326" t="e">
        <f t="shared" si="727"/>
        <v>#DIV/0!</v>
      </c>
      <c r="BK106" s="326" t="e">
        <f t="shared" si="727"/>
        <v>#DIV/0!</v>
      </c>
      <c r="BL106" s="333" t="e">
        <f t="shared" si="727"/>
        <v>#DIV/0!</v>
      </c>
    </row>
    <row r="107" spans="1:64" ht="16" customHeight="1" x14ac:dyDescent="0.25">
      <c r="A107" s="609"/>
      <c r="B107" s="607"/>
      <c r="C107" s="372" t="s">
        <v>497</v>
      </c>
      <c r="D107" s="401" t="s">
        <v>514</v>
      </c>
      <c r="E107" s="396" t="e">
        <f>HLOOKUP(E$2,'Sponsoring marketplace'!$B$50:$BD$51,2)</f>
        <v>#N/A</v>
      </c>
      <c r="F107" s="374" t="e">
        <f>HLOOKUP(F$2,'Sponsoring marketplace'!$B$50:$BD$51,2)</f>
        <v>#N/A</v>
      </c>
      <c r="G107" s="374" t="e">
        <f>HLOOKUP(G$2,'Sponsoring marketplace'!$B$50:$BD$51,2)</f>
        <v>#N/A</v>
      </c>
      <c r="H107" s="374" t="e">
        <f>HLOOKUP(H$2,'Sponsoring marketplace'!$B$50:$BD$51,2)</f>
        <v>#N/A</v>
      </c>
      <c r="I107" s="374" t="e">
        <f>HLOOKUP(I$2,'Sponsoring marketplace'!$B$50:$BD$51,2)</f>
        <v>#N/A</v>
      </c>
      <c r="J107" s="374" t="e">
        <f>HLOOKUP(J$2,'Sponsoring marketplace'!$B$50:$BD$51,2)</f>
        <v>#N/A</v>
      </c>
      <c r="K107" s="374" t="e">
        <f>HLOOKUP(K$2,'Sponsoring marketplace'!$B$50:$BD$51,2)</f>
        <v>#N/A</v>
      </c>
      <c r="L107" s="374" t="e">
        <f>HLOOKUP(L$2,'Sponsoring marketplace'!$B$50:$BD$51,2)</f>
        <v>#N/A</v>
      </c>
      <c r="M107" s="374" t="e">
        <f>HLOOKUP(M$2,'Sponsoring marketplace'!$B$50:$BD$51,2)</f>
        <v>#N/A</v>
      </c>
      <c r="N107" s="374" t="e">
        <f>HLOOKUP(N$2,'Sponsoring marketplace'!$B$50:$BD$51,2)</f>
        <v>#N/A</v>
      </c>
      <c r="O107" s="374" t="e">
        <f>HLOOKUP(O$2,'Sponsoring marketplace'!$B$50:$BD$51,2)</f>
        <v>#N/A</v>
      </c>
      <c r="P107" s="397" t="e">
        <f>HLOOKUP(P$2,'Sponsoring marketplace'!$B$50:$BD$51,2)</f>
        <v>#N/A</v>
      </c>
      <c r="Q107" s="374" t="e">
        <f>HLOOKUP(Q$2,'Sponsoring marketplace'!$B$50:$BD$51,2)</f>
        <v>#N/A</v>
      </c>
      <c r="R107" s="374">
        <f>HLOOKUP(R$2,'Sponsoring marketplace'!$B$50:$BD$51,2)</f>
        <v>0</v>
      </c>
      <c r="S107" s="374">
        <f>HLOOKUP(S$2,'Sponsoring marketplace'!$B$50:$BD$51,2)</f>
        <v>0</v>
      </c>
      <c r="T107" s="374">
        <f>HLOOKUP(T$2,'Sponsoring marketplace'!$B$50:$BD$51,2)</f>
        <v>0</v>
      </c>
      <c r="U107" s="374">
        <f>HLOOKUP(U$2,'Sponsoring marketplace'!$B$50:$BD$51,2)</f>
        <v>0</v>
      </c>
      <c r="V107" s="374">
        <f>HLOOKUP(V$2,'Sponsoring marketplace'!$B$50:$BD$51,2)</f>
        <v>0</v>
      </c>
      <c r="W107" s="374">
        <f>HLOOKUP(W$2,'Sponsoring marketplace'!$B$50:$BD$51,2)</f>
        <v>0</v>
      </c>
      <c r="X107" s="374">
        <f>HLOOKUP(X$2,'Sponsoring marketplace'!$B$50:$BD$51,2)</f>
        <v>0</v>
      </c>
      <c r="Y107" s="374">
        <f>HLOOKUP(Y$2,'Sponsoring marketplace'!$B$50:$BD$51,2)</f>
        <v>0</v>
      </c>
      <c r="Z107" s="374">
        <f>HLOOKUP(Z$2,'Sponsoring marketplace'!$B$50:$BD$51,2)</f>
        <v>0</v>
      </c>
      <c r="AA107" s="374">
        <f>HLOOKUP(AA$2,'Sponsoring marketplace'!$B$50:$BD$51,2)</f>
        <v>99086.283798917648</v>
      </c>
      <c r="AB107" s="374">
        <f>HLOOKUP(AB$2,'Sponsoring marketplace'!$B$50:$BD$51,2)</f>
        <v>114159.56382674715</v>
      </c>
      <c r="AC107" s="396">
        <f>HLOOKUP(AC$2,'Sponsoring marketplace'!$B$50:$BD$51,2)</f>
        <v>134294.23523931252</v>
      </c>
      <c r="AD107" s="374">
        <f>HLOOKUP(AD$2,'Sponsoring marketplace'!$B$50:$BD$51,2)</f>
        <v>168059.5155966118</v>
      </c>
      <c r="AE107" s="374">
        <f>HLOOKUP(AE$2,'Sponsoring marketplace'!$B$50:$BD$51,2)</f>
        <v>206521.26753586065</v>
      </c>
      <c r="AF107" s="374">
        <f>HLOOKUP(AF$2,'Sponsoring marketplace'!$B$50:$BD$51,2)</f>
        <v>250232.72946146387</v>
      </c>
      <c r="AG107" s="374">
        <f>HLOOKUP(AG$2,'Sponsoring marketplace'!$B$50:$BD$51,2)</f>
        <v>299808.39259416884</v>
      </c>
      <c r="AH107" s="374">
        <f>HLOOKUP(AH$2,'Sponsoring marketplace'!$B$50:$BD$51,2)</f>
        <v>355930.81319036032</v>
      </c>
      <c r="AI107" s="374">
        <f>HLOOKUP(AI$2,'Sponsoring marketplace'!$B$50:$BD$51,2)</f>
        <v>419358.24654677999</v>
      </c>
      <c r="AJ107" s="374">
        <f>HLOOKUP(AJ$2,'Sponsoring marketplace'!$B$50:$BD$51,2)</f>
        <v>490933.21986101364</v>
      </c>
      <c r="AK107" s="374">
        <f>HLOOKUP(AK$2,'Sponsoring marketplace'!$B$50:$BD$51,2)</f>
        <v>571592.1814891001</v>
      </c>
      <c r="AL107" s="374">
        <f>HLOOKUP(AL$2,'Sponsoring marketplace'!$B$50:$BD$51,2)</f>
        <v>662376.38882749714</v>
      </c>
      <c r="AM107" s="374">
        <f>HLOOKUP(AM$2,'Sponsoring marketplace'!$B$50:$BD$51,2)</f>
        <v>764444.22689902491</v>
      </c>
      <c r="AN107" s="397">
        <f>HLOOKUP(AN$2,'Sponsoring marketplace'!$B$50:$BD$51,2)</f>
        <v>879085.18591699889</v>
      </c>
      <c r="AO107" s="374">
        <f>HLOOKUP(AO$2,'Sponsoring marketplace'!$B$50:$BD$51,2)</f>
        <v>1007735.7700919751</v>
      </c>
      <c r="AP107" s="374">
        <f>HLOOKUP(AP$2,'Sponsoring marketplace'!$B$50:$BD$51,2)</f>
        <v>1179840.4218584446</v>
      </c>
      <c r="AQ107" s="374">
        <f>HLOOKUP(AQ$2,'Sponsoring marketplace'!$B$50:$BD$51,2)</f>
        <v>1373948.5053374965</v>
      </c>
      <c r="AR107" s="374">
        <f>HLOOKUP(AR$2,'Sponsoring marketplace'!$B$50:$BD$51,2)</f>
        <v>1592628.1123506462</v>
      </c>
      <c r="AS107" s="374">
        <f>HLOOKUP(AS$2,'Sponsoring marketplace'!$B$50:$BD$51,2)</f>
        <v>1838747.6519174424</v>
      </c>
      <c r="AT107" s="374">
        <f>HLOOKUP(AT$2,'Sponsoring marketplace'!$B$50:$BD$51,2)</f>
        <v>2115514.3190563321</v>
      </c>
      <c r="AU107" s="374">
        <f>HLOOKUP(AU$2,'Sponsoring marketplace'!$B$50:$BD$51,2)</f>
        <v>2426518.4179661167</v>
      </c>
      <c r="AV107" s="374">
        <f>HLOOKUP(AV$2,'Sponsoring marketplace'!$B$50:$BD$51,2)</f>
        <v>2775784.6194899227</v>
      </c>
      <c r="AW107" s="374">
        <f>HLOOKUP(AW$2,'Sponsoring marketplace'!$B$50:$BD$51,2)</f>
        <v>3167831.4620767082</v>
      </c>
      <c r="AX107" s="374">
        <f>HLOOKUP(AX$2,'Sponsoring marketplace'!$B$50:$BD$51,2)</f>
        <v>3607740.687275447</v>
      </c>
      <c r="AY107" s="374">
        <f>HLOOKUP(AY$2,'Sponsoring marketplace'!$B$50:$BD$51,2)</f>
        <v>4101238.3475562567</v>
      </c>
      <c r="AZ107" s="374">
        <f>HLOOKUP(AZ$2,'Sponsoring marketplace'!$B$50:$BD$51,2)</f>
        <v>4654790.0513669001</v>
      </c>
      <c r="BA107" s="396">
        <f>HLOOKUP(BA$2,'Sponsoring marketplace'!$B$50:$BD$51,2)</f>
        <v>5275713.2369216103</v>
      </c>
      <c r="BB107" s="374">
        <f>HLOOKUP(BB$2,'Sponsoring marketplace'!$B$50:$BD$51,2)</f>
        <v>6014377.6971954601</v>
      </c>
      <c r="BC107" s="374">
        <f>HLOOKUP(BC$2,'Sponsoring marketplace'!$B$50:$BD$51,2)</f>
        <v>6845117.1581038237</v>
      </c>
      <c r="BD107" s="374">
        <f>HLOOKUP(BD$2,'Sponsoring marketplace'!$B$50:$BD$51,2)</f>
        <v>7779568.5478020655</v>
      </c>
      <c r="BE107" s="374">
        <f>HLOOKUP(BE$2,'Sponsoring marketplace'!$B$50:$BD$51,2)</f>
        <v>8831034.9149390403</v>
      </c>
      <c r="BF107" s="374">
        <f>HLOOKUP(BF$2,'Sponsoring marketplace'!$B$50:$BD$51,2)</f>
        <v>10014722.056912456</v>
      </c>
      <c r="BG107" s="374">
        <f>HLOOKUP(BG$2,'Sponsoring marketplace'!$B$50:$BD$51,2)</f>
        <v>11348112.791808583</v>
      </c>
      <c r="BH107" s="374">
        <f>HLOOKUP(BH$2,'Sponsoring marketplace'!$B$50:$BD$51,2)</f>
        <v>12851358.59899882</v>
      </c>
      <c r="BI107" s="374">
        <f>HLOOKUP(BI$2,'Sponsoring marketplace'!$B$50:$BD$51,2)</f>
        <v>14547766.608453555</v>
      </c>
      <c r="BJ107" s="374">
        <f>HLOOKUP(BJ$2,'Sponsoring marketplace'!$B$50:$BD$51,2)</f>
        <v>16464388.885447163</v>
      </c>
      <c r="BK107" s="374">
        <f>HLOOKUP(BK$2,'Sponsoring marketplace'!$B$50:$BD$51,2)</f>
        <v>18632737.282329727</v>
      </c>
      <c r="BL107" s="397">
        <f>HLOOKUP(BL$2,'Sponsoring marketplace'!$B$50:$BD$51,2)</f>
        <v>21089652.622028783</v>
      </c>
    </row>
    <row r="108" spans="1:64" ht="17" x14ac:dyDescent="0.25">
      <c r="A108" s="609"/>
      <c r="B108" s="607"/>
      <c r="C108" s="373" t="s">
        <v>498</v>
      </c>
      <c r="D108" s="402" t="s">
        <v>514</v>
      </c>
      <c r="E108" s="388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5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88"/>
      <c r="AD108" s="344"/>
      <c r="AE108" s="344"/>
      <c r="AF108" s="344"/>
      <c r="AG108" s="344"/>
      <c r="AH108" s="344"/>
      <c r="AI108" s="344"/>
      <c r="AJ108" s="344"/>
      <c r="AK108" s="344"/>
      <c r="AL108" s="344"/>
      <c r="AM108" s="344"/>
      <c r="AN108" s="345"/>
      <c r="AO108" s="344"/>
      <c r="AP108" s="344"/>
      <c r="AQ108" s="344"/>
      <c r="AR108" s="344"/>
      <c r="AS108" s="344"/>
      <c r="AT108" s="344"/>
      <c r="AU108" s="344"/>
      <c r="AV108" s="344"/>
      <c r="AW108" s="344"/>
      <c r="AX108" s="344"/>
      <c r="AY108" s="344"/>
      <c r="AZ108" s="344"/>
      <c r="BA108" s="388"/>
      <c r="BB108" s="344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345"/>
    </row>
    <row r="109" spans="1:64" x14ac:dyDescent="0.25">
      <c r="A109" s="609"/>
      <c r="B109" s="607"/>
      <c r="C109" s="370" t="s">
        <v>507</v>
      </c>
      <c r="D109" s="403" t="s">
        <v>499</v>
      </c>
      <c r="E109" s="382" t="e">
        <f>(E108-E107)/E107</f>
        <v>#N/A</v>
      </c>
      <c r="F109" s="371" t="e">
        <f t="shared" ref="F109" si="728">(F108-F107)/F107</f>
        <v>#N/A</v>
      </c>
      <c r="G109" s="371" t="e">
        <f t="shared" ref="G109" si="729">(G108-G107)/G107</f>
        <v>#N/A</v>
      </c>
      <c r="H109" s="371" t="e">
        <f t="shared" ref="H109" si="730">(H108-H107)/H107</f>
        <v>#N/A</v>
      </c>
      <c r="I109" s="371" t="e">
        <f t="shared" ref="I109" si="731">(I108-I107)/I107</f>
        <v>#N/A</v>
      </c>
      <c r="J109" s="371" t="e">
        <f t="shared" ref="J109" si="732">(J108-J107)/J107</f>
        <v>#N/A</v>
      </c>
      <c r="K109" s="371" t="e">
        <f t="shared" ref="K109" si="733">(K108-K107)/K107</f>
        <v>#N/A</v>
      </c>
      <c r="L109" s="371" t="e">
        <f t="shared" ref="L109" si="734">(L108-L107)/L107</f>
        <v>#N/A</v>
      </c>
      <c r="M109" s="371" t="e">
        <f t="shared" ref="M109" si="735">(M108-M107)/M107</f>
        <v>#N/A</v>
      </c>
      <c r="N109" s="371" t="e">
        <f t="shared" ref="N109" si="736">(N108-N107)/N107</f>
        <v>#N/A</v>
      </c>
      <c r="O109" s="371" t="e">
        <f t="shared" ref="O109" si="737">(O108-O107)/O107</f>
        <v>#N/A</v>
      </c>
      <c r="P109" s="383" t="e">
        <f t="shared" ref="P109" si="738">(P108-P107)/P107</f>
        <v>#N/A</v>
      </c>
      <c r="Q109" s="371" t="e">
        <f t="shared" ref="Q109" si="739">(Q108-Q107)/Q107</f>
        <v>#N/A</v>
      </c>
      <c r="R109" s="371" t="e">
        <f t="shared" ref="R109" si="740">(R108-R107)/R107</f>
        <v>#DIV/0!</v>
      </c>
      <c r="S109" s="371" t="e">
        <f t="shared" ref="S109" si="741">(S108-S107)/S107</f>
        <v>#DIV/0!</v>
      </c>
      <c r="T109" s="371" t="e">
        <f t="shared" ref="T109" si="742">(T108-T107)/T107</f>
        <v>#DIV/0!</v>
      </c>
      <c r="U109" s="371" t="e">
        <f t="shared" ref="U109" si="743">(U108-U107)/U107</f>
        <v>#DIV/0!</v>
      </c>
      <c r="V109" s="371" t="e">
        <f t="shared" ref="V109" si="744">(V108-V107)/V107</f>
        <v>#DIV/0!</v>
      </c>
      <c r="W109" s="371" t="e">
        <f t="shared" ref="W109" si="745">(W108-W107)/W107</f>
        <v>#DIV/0!</v>
      </c>
      <c r="X109" s="371" t="e">
        <f t="shared" ref="X109" si="746">(X108-X107)/X107</f>
        <v>#DIV/0!</v>
      </c>
      <c r="Y109" s="371" t="e">
        <f t="shared" ref="Y109" si="747">(Y108-Y107)/Y107</f>
        <v>#DIV/0!</v>
      </c>
      <c r="Z109" s="371" t="e">
        <f t="shared" ref="Z109" si="748">(Z108-Z107)/Z107</f>
        <v>#DIV/0!</v>
      </c>
      <c r="AA109" s="371">
        <f t="shared" ref="AA109" si="749">(AA108-AA107)/AA107</f>
        <v>-1</v>
      </c>
      <c r="AB109" s="371">
        <f t="shared" ref="AB109" si="750">(AB108-AB107)/AB107</f>
        <v>-1</v>
      </c>
      <c r="AC109" s="382">
        <f t="shared" ref="AC109" si="751">(AC108-AC107)/AC107</f>
        <v>-1</v>
      </c>
      <c r="AD109" s="371">
        <f t="shared" ref="AD109" si="752">(AD108-AD107)/AD107</f>
        <v>-1</v>
      </c>
      <c r="AE109" s="371">
        <f t="shared" ref="AE109" si="753">(AE108-AE107)/AE107</f>
        <v>-1</v>
      </c>
      <c r="AF109" s="371">
        <f t="shared" ref="AF109" si="754">(AF108-AF107)/AF107</f>
        <v>-1</v>
      </c>
      <c r="AG109" s="371">
        <f t="shared" ref="AG109" si="755">(AG108-AG107)/AG107</f>
        <v>-1</v>
      </c>
      <c r="AH109" s="371">
        <f t="shared" ref="AH109" si="756">(AH108-AH107)/AH107</f>
        <v>-1</v>
      </c>
      <c r="AI109" s="371">
        <f t="shared" ref="AI109" si="757">(AI108-AI107)/AI107</f>
        <v>-1</v>
      </c>
      <c r="AJ109" s="371">
        <f t="shared" ref="AJ109" si="758">(AJ108-AJ107)/AJ107</f>
        <v>-1</v>
      </c>
      <c r="AK109" s="371">
        <f t="shared" ref="AK109" si="759">(AK108-AK107)/AK107</f>
        <v>-1</v>
      </c>
      <c r="AL109" s="371">
        <f t="shared" ref="AL109" si="760">(AL108-AL107)/AL107</f>
        <v>-1</v>
      </c>
      <c r="AM109" s="371">
        <f t="shared" ref="AM109" si="761">(AM108-AM107)/AM107</f>
        <v>-1</v>
      </c>
      <c r="AN109" s="383">
        <f t="shared" ref="AN109" si="762">(AN108-AN107)/AN107</f>
        <v>-1</v>
      </c>
      <c r="AO109" s="371">
        <f t="shared" ref="AO109" si="763">(AO108-AO107)/AO107</f>
        <v>-1</v>
      </c>
      <c r="AP109" s="371">
        <f t="shared" ref="AP109" si="764">(AP108-AP107)/AP107</f>
        <v>-1</v>
      </c>
      <c r="AQ109" s="371">
        <f t="shared" ref="AQ109" si="765">(AQ108-AQ107)/AQ107</f>
        <v>-1</v>
      </c>
      <c r="AR109" s="371">
        <f t="shared" ref="AR109" si="766">(AR108-AR107)/AR107</f>
        <v>-1</v>
      </c>
      <c r="AS109" s="371">
        <f t="shared" ref="AS109" si="767">(AS108-AS107)/AS107</f>
        <v>-1</v>
      </c>
      <c r="AT109" s="371">
        <f t="shared" ref="AT109" si="768">(AT108-AT107)/AT107</f>
        <v>-1</v>
      </c>
      <c r="AU109" s="371">
        <f t="shared" ref="AU109" si="769">(AU108-AU107)/AU107</f>
        <v>-1</v>
      </c>
      <c r="AV109" s="371">
        <f t="shared" ref="AV109" si="770">(AV108-AV107)/AV107</f>
        <v>-1</v>
      </c>
      <c r="AW109" s="371">
        <f t="shared" ref="AW109" si="771">(AW108-AW107)/AW107</f>
        <v>-1</v>
      </c>
      <c r="AX109" s="371">
        <f t="shared" ref="AX109" si="772">(AX108-AX107)/AX107</f>
        <v>-1</v>
      </c>
      <c r="AY109" s="371">
        <f t="shared" ref="AY109" si="773">(AY108-AY107)/AY107</f>
        <v>-1</v>
      </c>
      <c r="AZ109" s="371">
        <f t="shared" ref="AZ109" si="774">(AZ108-AZ107)/AZ107</f>
        <v>-1</v>
      </c>
      <c r="BA109" s="382">
        <f t="shared" ref="BA109" si="775">(BA108-BA107)/BA107</f>
        <v>-1</v>
      </c>
      <c r="BB109" s="371">
        <f t="shared" ref="BB109" si="776">(BB108-BB107)/BB107</f>
        <v>-1</v>
      </c>
      <c r="BC109" s="371">
        <f t="shared" ref="BC109" si="777">(BC108-BC107)/BC107</f>
        <v>-1</v>
      </c>
      <c r="BD109" s="371">
        <f t="shared" ref="BD109" si="778">(BD108-BD107)/BD107</f>
        <v>-1</v>
      </c>
      <c r="BE109" s="371">
        <f t="shared" ref="BE109" si="779">(BE108-BE107)/BE107</f>
        <v>-1</v>
      </c>
      <c r="BF109" s="371">
        <f t="shared" ref="BF109" si="780">(BF108-BF107)/BF107</f>
        <v>-1</v>
      </c>
      <c r="BG109" s="371">
        <f t="shared" ref="BG109" si="781">(BG108-BG107)/BG107</f>
        <v>-1</v>
      </c>
      <c r="BH109" s="371">
        <f t="shared" ref="BH109" si="782">(BH108-BH107)/BH107</f>
        <v>-1</v>
      </c>
      <c r="BI109" s="371">
        <f t="shared" ref="BI109" si="783">(BI108-BI107)/BI107</f>
        <v>-1</v>
      </c>
      <c r="BJ109" s="371">
        <f t="shared" ref="BJ109" si="784">(BJ108-BJ107)/BJ107</f>
        <v>-1</v>
      </c>
      <c r="BK109" s="371">
        <f t="shared" ref="BK109" si="785">(BK108-BK107)/BK107</f>
        <v>-1</v>
      </c>
      <c r="BL109" s="383">
        <f t="shared" ref="BL109" si="786">(BL108-BL107)/BL107</f>
        <v>-1</v>
      </c>
    </row>
    <row r="110" spans="1:64" ht="16" customHeight="1" x14ac:dyDescent="0.25">
      <c r="A110" s="609"/>
      <c r="B110" s="607"/>
      <c r="C110" s="343" t="s">
        <v>497</v>
      </c>
      <c r="D110" s="402" t="s">
        <v>55</v>
      </c>
      <c r="E110" s="398" t="e">
        <f>HLOOKUP(E$2,'Sponsoring marketplace'!$B$55:$BD$62,7)</f>
        <v>#N/A</v>
      </c>
      <c r="F110" s="357" t="e">
        <f>HLOOKUP(F$2,'Sponsoring marketplace'!$B$55:$BD$62,7)</f>
        <v>#N/A</v>
      </c>
      <c r="G110" s="357" t="e">
        <f>HLOOKUP(G$2,'Sponsoring marketplace'!$B$55:$BD$62,7)</f>
        <v>#N/A</v>
      </c>
      <c r="H110" s="357" t="e">
        <f>HLOOKUP(H$2,'Sponsoring marketplace'!$B$55:$BD$62,7)</f>
        <v>#N/A</v>
      </c>
      <c r="I110" s="357" t="e">
        <f>HLOOKUP(I$2,'Sponsoring marketplace'!$B$55:$BD$62,7)</f>
        <v>#N/A</v>
      </c>
      <c r="J110" s="357" t="e">
        <f>HLOOKUP(J$2,'Sponsoring marketplace'!$B$55:$BD$62,7)</f>
        <v>#N/A</v>
      </c>
      <c r="K110" s="357" t="e">
        <f>HLOOKUP(K$2,'Sponsoring marketplace'!$B$55:$BD$62,7)</f>
        <v>#N/A</v>
      </c>
      <c r="L110" s="357" t="e">
        <f>HLOOKUP(L$2,'Sponsoring marketplace'!$B$55:$BD$62,7)</f>
        <v>#N/A</v>
      </c>
      <c r="M110" s="357" t="e">
        <f>HLOOKUP(M$2,'Sponsoring marketplace'!$B$55:$BD$62,7)</f>
        <v>#N/A</v>
      </c>
      <c r="N110" s="357" t="e">
        <f>HLOOKUP(N$2,'Sponsoring marketplace'!$B$55:$BD$62,7)</f>
        <v>#N/A</v>
      </c>
      <c r="O110" s="357" t="e">
        <f>HLOOKUP(O$2,'Sponsoring marketplace'!$B$55:$BD$62,7)</f>
        <v>#N/A</v>
      </c>
      <c r="P110" s="358" t="e">
        <f>HLOOKUP(P$2,'Sponsoring marketplace'!$B$55:$BD$62,7)</f>
        <v>#N/A</v>
      </c>
      <c r="Q110" s="357" t="e">
        <f>HLOOKUP(Q$2,'Sponsoring marketplace'!$B$55:$BD$62,7)</f>
        <v>#N/A</v>
      </c>
      <c r="R110" s="357">
        <f>HLOOKUP(R$2,'Sponsoring marketplace'!$B$55:$BD$62,7)</f>
        <v>0</v>
      </c>
      <c r="S110" s="357">
        <f>HLOOKUP(S$2,'Sponsoring marketplace'!$B$55:$BD$62,7)</f>
        <v>0</v>
      </c>
      <c r="T110" s="357">
        <f>HLOOKUP(T$2,'Sponsoring marketplace'!$B$55:$BD$62,7)</f>
        <v>0</v>
      </c>
      <c r="U110" s="357">
        <f>HLOOKUP(U$2,'Sponsoring marketplace'!$B$55:$BD$62,7)</f>
        <v>0</v>
      </c>
      <c r="V110" s="357">
        <f>HLOOKUP(V$2,'Sponsoring marketplace'!$B$55:$BD$62,7)</f>
        <v>0</v>
      </c>
      <c r="W110" s="357">
        <f>HLOOKUP(W$2,'Sponsoring marketplace'!$B$55:$BD$62,7)</f>
        <v>0</v>
      </c>
      <c r="X110" s="357">
        <f>HLOOKUP(X$2,'Sponsoring marketplace'!$B$55:$BD$62,7)</f>
        <v>0</v>
      </c>
      <c r="Y110" s="357">
        <f>HLOOKUP(Y$2,'Sponsoring marketplace'!$B$55:$BD$62,7)</f>
        <v>0</v>
      </c>
      <c r="Z110" s="357">
        <f>HLOOKUP(Z$2,'Sponsoring marketplace'!$B$55:$BD$62,7)</f>
        <v>0</v>
      </c>
      <c r="AA110" s="357">
        <f>HLOOKUP(AA$2,'Sponsoring marketplace'!$B$55:$BD$62,7)</f>
        <v>1981.7256759783529</v>
      </c>
      <c r="AB110" s="357">
        <f>HLOOKUP(AB$2,'Sponsoring marketplace'!$B$55:$BD$62,7)</f>
        <v>2283.191276534943</v>
      </c>
      <c r="AC110" s="398">
        <f>HLOOKUP(AC$2,'Sponsoring marketplace'!$B$55:$BD$62,7)</f>
        <v>2685.8847047862505</v>
      </c>
      <c r="AD110" s="357">
        <f>HLOOKUP(AD$2,'Sponsoring marketplace'!$B$55:$BD$62,7)</f>
        <v>3361.190311932236</v>
      </c>
      <c r="AE110" s="357">
        <f>HLOOKUP(AE$2,'Sponsoring marketplace'!$B$55:$BD$62,7)</f>
        <v>4130.4253507172134</v>
      </c>
      <c r="AF110" s="357">
        <f>HLOOKUP(AF$2,'Sponsoring marketplace'!$B$55:$BD$62,7)</f>
        <v>5004.654589229277</v>
      </c>
      <c r="AG110" s="357">
        <f>HLOOKUP(AG$2,'Sponsoring marketplace'!$B$55:$BD$62,7)</f>
        <v>5996.1678518833769</v>
      </c>
      <c r="AH110" s="357">
        <f>HLOOKUP(AH$2,'Sponsoring marketplace'!$B$55:$BD$62,7)</f>
        <v>7118.6162638072065</v>
      </c>
      <c r="AI110" s="357">
        <f>HLOOKUP(AI$2,'Sponsoring marketplace'!$B$55:$BD$62,7)</f>
        <v>8387.1649309355998</v>
      </c>
      <c r="AJ110" s="357">
        <f>HLOOKUP(AJ$2,'Sponsoring marketplace'!$B$55:$BD$62,7)</f>
        <v>9818.6643972202728</v>
      </c>
      <c r="AK110" s="357">
        <f>HLOOKUP(AK$2,'Sponsoring marketplace'!$B$55:$BD$62,7)</f>
        <v>11431.843629782003</v>
      </c>
      <c r="AL110" s="357">
        <f>HLOOKUP(AL$2,'Sponsoring marketplace'!$B$55:$BD$62,7)</f>
        <v>13247.527776549943</v>
      </c>
      <c r="AM110" s="357">
        <f>HLOOKUP(AM$2,'Sponsoring marketplace'!$B$55:$BD$62,7)</f>
        <v>15288.884537980499</v>
      </c>
      <c r="AN110" s="358">
        <f>HLOOKUP(AN$2,'Sponsoring marketplace'!$B$55:$BD$62,7)</f>
        <v>17581.703718339977</v>
      </c>
      <c r="AO110" s="357">
        <f>HLOOKUP(AO$2,'Sponsoring marketplace'!$B$55:$BD$62,7)</f>
        <v>20154.715401839501</v>
      </c>
      <c r="AP110" s="357">
        <f>HLOOKUP(AP$2,'Sponsoring marketplace'!$B$55:$BD$62,7)</f>
        <v>23596.808437168893</v>
      </c>
      <c r="AQ110" s="357">
        <f>HLOOKUP(AQ$2,'Sponsoring marketplace'!$B$55:$BD$62,7)</f>
        <v>27478.97010674993</v>
      </c>
      <c r="AR110" s="357">
        <f>HLOOKUP(AR$2,'Sponsoring marketplace'!$B$55:$BD$62,7)</f>
        <v>31852.562247012924</v>
      </c>
      <c r="AS110" s="357">
        <f>HLOOKUP(AS$2,'Sponsoring marketplace'!$B$55:$BD$62,7)</f>
        <v>36774.953038348853</v>
      </c>
      <c r="AT110" s="357">
        <f>HLOOKUP(AT$2,'Sponsoring marketplace'!$B$55:$BD$62,7)</f>
        <v>42310.286381126643</v>
      </c>
      <c r="AU110" s="357">
        <f>HLOOKUP(AU$2,'Sponsoring marketplace'!$B$55:$BD$62,7)</f>
        <v>48530.368359322332</v>
      </c>
      <c r="AV110" s="357">
        <f>HLOOKUP(AV$2,'Sponsoring marketplace'!$B$55:$BD$62,7)</f>
        <v>55515.692389798452</v>
      </c>
      <c r="AW110" s="357">
        <f>HLOOKUP(AW$2,'Sponsoring marketplace'!$B$55:$BD$62,7)</f>
        <v>63356.629241534167</v>
      </c>
      <c r="AX110" s="357">
        <f>HLOOKUP(AX$2,'Sponsoring marketplace'!$B$55:$BD$62,7)</f>
        <v>72154.813745508945</v>
      </c>
      <c r="AY110" s="357">
        <f>HLOOKUP(AY$2,'Sponsoring marketplace'!$B$55:$BD$62,7)</f>
        <v>82024.76695112513</v>
      </c>
      <c r="AZ110" s="357">
        <f>HLOOKUP(AZ$2,'Sponsoring marketplace'!$B$55:$BD$62,7)</f>
        <v>93095.801027338006</v>
      </c>
      <c r="BA110" s="398">
        <f>HLOOKUP(BA$2,'Sponsoring marketplace'!$B$55:$BD$62,7)</f>
        <v>105514.2647384322</v>
      </c>
      <c r="BB110" s="357">
        <f>HLOOKUP(BB$2,'Sponsoring marketplace'!$B$55:$BD$62,7)</f>
        <v>120287.55394390921</v>
      </c>
      <c r="BC110" s="357">
        <f>HLOOKUP(BC$2,'Sponsoring marketplace'!$B$55:$BD$62,7)</f>
        <v>136902.34316207649</v>
      </c>
      <c r="BD110" s="357">
        <f>HLOOKUP(BD$2,'Sponsoring marketplace'!$B$55:$BD$62,7)</f>
        <v>155591.37095604133</v>
      </c>
      <c r="BE110" s="357">
        <f>HLOOKUP(BE$2,'Sponsoring marketplace'!$B$55:$BD$62,7)</f>
        <v>176620.6982987808</v>
      </c>
      <c r="BF110" s="357">
        <f>HLOOKUP(BF$2,'Sponsoring marketplace'!$B$55:$BD$62,7)</f>
        <v>200294.44113824912</v>
      </c>
      <c r="BG110" s="357">
        <f>HLOOKUP(BG$2,'Sponsoring marketplace'!$B$55:$BD$62,7)</f>
        <v>226962.25583617165</v>
      </c>
      <c r="BH110" s="357">
        <f>HLOOKUP(BH$2,'Sponsoring marketplace'!$B$55:$BD$62,7)</f>
        <v>257027.17197997641</v>
      </c>
      <c r="BI110" s="357">
        <f>HLOOKUP(BI$2,'Sponsoring marketplace'!$B$55:$BD$62,7)</f>
        <v>290955.33216907113</v>
      </c>
      <c r="BJ110" s="357">
        <f>HLOOKUP(BJ$2,'Sponsoring marketplace'!$B$55:$BD$62,7)</f>
        <v>329287.77770894329</v>
      </c>
      <c r="BK110" s="357">
        <f>HLOOKUP(BK$2,'Sponsoring marketplace'!$B$55:$BD$62,7)</f>
        <v>372654.74564659456</v>
      </c>
      <c r="BL110" s="358">
        <f>HLOOKUP(BL$2,'Sponsoring marketplace'!$B$55:$BD$62,7)</f>
        <v>421793.05244057567</v>
      </c>
    </row>
    <row r="111" spans="1:64" ht="17" x14ac:dyDescent="0.25">
      <c r="A111" s="609"/>
      <c r="B111" s="607"/>
      <c r="C111" s="343" t="s">
        <v>498</v>
      </c>
      <c r="D111" s="402" t="s">
        <v>55</v>
      </c>
      <c r="E111" s="388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5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  <c r="AC111" s="388"/>
      <c r="AD111" s="344"/>
      <c r="AE111" s="344"/>
      <c r="AF111" s="344"/>
      <c r="AG111" s="344"/>
      <c r="AH111" s="344"/>
      <c r="AI111" s="344"/>
      <c r="AJ111" s="344"/>
      <c r="AK111" s="344"/>
      <c r="AL111" s="344"/>
      <c r="AM111" s="344"/>
      <c r="AN111" s="345"/>
      <c r="AO111" s="344"/>
      <c r="AP111" s="344"/>
      <c r="AQ111" s="344"/>
      <c r="AR111" s="344"/>
      <c r="AS111" s="344"/>
      <c r="AT111" s="344"/>
      <c r="AU111" s="344"/>
      <c r="AV111" s="344"/>
      <c r="AW111" s="344"/>
      <c r="AX111" s="344"/>
      <c r="AY111" s="344"/>
      <c r="AZ111" s="344"/>
      <c r="BA111" s="388"/>
      <c r="BB111" s="344"/>
      <c r="BC111" s="344"/>
      <c r="BD111" s="344"/>
      <c r="BE111" s="344"/>
      <c r="BF111" s="344"/>
      <c r="BG111" s="344"/>
      <c r="BH111" s="344"/>
      <c r="BI111" s="344"/>
      <c r="BJ111" s="344"/>
      <c r="BK111" s="344"/>
      <c r="BL111" s="345"/>
    </row>
    <row r="112" spans="1:64" x14ac:dyDescent="0.25">
      <c r="A112" s="609"/>
      <c r="B112" s="607"/>
      <c r="C112" s="325" t="s">
        <v>507</v>
      </c>
      <c r="D112" s="402" t="s">
        <v>499</v>
      </c>
      <c r="E112" s="385" t="e">
        <f>(E111-E110)/E110</f>
        <v>#N/A</v>
      </c>
      <c r="F112" s="326" t="e">
        <f t="shared" ref="F112" si="787">(F111-F110)/F110</f>
        <v>#N/A</v>
      </c>
      <c r="G112" s="326" t="e">
        <f t="shared" ref="G112" si="788">(G111-G110)/G110</f>
        <v>#N/A</v>
      </c>
      <c r="H112" s="326" t="e">
        <f t="shared" ref="H112" si="789">(H111-H110)/H110</f>
        <v>#N/A</v>
      </c>
      <c r="I112" s="326" t="e">
        <f t="shared" ref="I112" si="790">(I111-I110)/I110</f>
        <v>#N/A</v>
      </c>
      <c r="J112" s="326" t="e">
        <f t="shared" ref="J112" si="791">(J111-J110)/J110</f>
        <v>#N/A</v>
      </c>
      <c r="K112" s="326" t="e">
        <f t="shared" ref="K112" si="792">(K111-K110)/K110</f>
        <v>#N/A</v>
      </c>
      <c r="L112" s="326" t="e">
        <f t="shared" ref="L112" si="793">(L111-L110)/L110</f>
        <v>#N/A</v>
      </c>
      <c r="M112" s="326" t="e">
        <f t="shared" ref="M112" si="794">(M111-M110)/M110</f>
        <v>#N/A</v>
      </c>
      <c r="N112" s="326" t="e">
        <f t="shared" ref="N112" si="795">(N111-N110)/N110</f>
        <v>#N/A</v>
      </c>
      <c r="O112" s="326" t="e">
        <f t="shared" ref="O112" si="796">(O111-O110)/O110</f>
        <v>#N/A</v>
      </c>
      <c r="P112" s="333" t="e">
        <f t="shared" ref="P112" si="797">(P111-P110)/P110</f>
        <v>#N/A</v>
      </c>
      <c r="Q112" s="326" t="e">
        <f t="shared" ref="Q112" si="798">(Q111-Q110)/Q110</f>
        <v>#N/A</v>
      </c>
      <c r="R112" s="326" t="e">
        <f t="shared" ref="R112" si="799">(R111-R110)/R110</f>
        <v>#DIV/0!</v>
      </c>
      <c r="S112" s="326" t="e">
        <f t="shared" ref="S112" si="800">(S111-S110)/S110</f>
        <v>#DIV/0!</v>
      </c>
      <c r="T112" s="326" t="e">
        <f t="shared" ref="T112" si="801">(T111-T110)/T110</f>
        <v>#DIV/0!</v>
      </c>
      <c r="U112" s="326" t="e">
        <f t="shared" ref="U112" si="802">(U111-U110)/U110</f>
        <v>#DIV/0!</v>
      </c>
      <c r="V112" s="326" t="e">
        <f t="shared" ref="V112" si="803">(V111-V110)/V110</f>
        <v>#DIV/0!</v>
      </c>
      <c r="W112" s="326" t="e">
        <f t="shared" ref="W112" si="804">(W111-W110)/W110</f>
        <v>#DIV/0!</v>
      </c>
      <c r="X112" s="326" t="e">
        <f t="shared" ref="X112" si="805">(X111-X110)/X110</f>
        <v>#DIV/0!</v>
      </c>
      <c r="Y112" s="326" t="e">
        <f t="shared" ref="Y112" si="806">(Y111-Y110)/Y110</f>
        <v>#DIV/0!</v>
      </c>
      <c r="Z112" s="326" t="e">
        <f t="shared" ref="Z112" si="807">(Z111-Z110)/Z110</f>
        <v>#DIV/0!</v>
      </c>
      <c r="AA112" s="326">
        <f t="shared" ref="AA112" si="808">(AA111-AA110)/AA110</f>
        <v>-1</v>
      </c>
      <c r="AB112" s="326">
        <f t="shared" ref="AB112" si="809">(AB111-AB110)/AB110</f>
        <v>-1</v>
      </c>
      <c r="AC112" s="385">
        <f t="shared" ref="AC112" si="810">(AC111-AC110)/AC110</f>
        <v>-1</v>
      </c>
      <c r="AD112" s="326">
        <f t="shared" ref="AD112" si="811">(AD111-AD110)/AD110</f>
        <v>-1</v>
      </c>
      <c r="AE112" s="326">
        <f t="shared" ref="AE112" si="812">(AE111-AE110)/AE110</f>
        <v>-1</v>
      </c>
      <c r="AF112" s="326">
        <f t="shared" ref="AF112" si="813">(AF111-AF110)/AF110</f>
        <v>-1</v>
      </c>
      <c r="AG112" s="326">
        <f t="shared" ref="AG112" si="814">(AG111-AG110)/AG110</f>
        <v>-1</v>
      </c>
      <c r="AH112" s="326">
        <f t="shared" ref="AH112" si="815">(AH111-AH110)/AH110</f>
        <v>-1</v>
      </c>
      <c r="AI112" s="326">
        <f t="shared" ref="AI112" si="816">(AI111-AI110)/AI110</f>
        <v>-1</v>
      </c>
      <c r="AJ112" s="326">
        <f t="shared" ref="AJ112" si="817">(AJ111-AJ110)/AJ110</f>
        <v>-1</v>
      </c>
      <c r="AK112" s="326">
        <f t="shared" ref="AK112" si="818">(AK111-AK110)/AK110</f>
        <v>-1</v>
      </c>
      <c r="AL112" s="326">
        <f t="shared" ref="AL112" si="819">(AL111-AL110)/AL110</f>
        <v>-1</v>
      </c>
      <c r="AM112" s="326">
        <f t="shared" ref="AM112" si="820">(AM111-AM110)/AM110</f>
        <v>-1</v>
      </c>
      <c r="AN112" s="333">
        <f t="shared" ref="AN112" si="821">(AN111-AN110)/AN110</f>
        <v>-1</v>
      </c>
      <c r="AO112" s="326">
        <f t="shared" ref="AO112" si="822">(AO111-AO110)/AO110</f>
        <v>-1</v>
      </c>
      <c r="AP112" s="326">
        <f t="shared" ref="AP112" si="823">(AP111-AP110)/AP110</f>
        <v>-1</v>
      </c>
      <c r="AQ112" s="326">
        <f t="shared" ref="AQ112" si="824">(AQ111-AQ110)/AQ110</f>
        <v>-1</v>
      </c>
      <c r="AR112" s="326">
        <f t="shared" ref="AR112" si="825">(AR111-AR110)/AR110</f>
        <v>-1</v>
      </c>
      <c r="AS112" s="326">
        <f t="shared" ref="AS112" si="826">(AS111-AS110)/AS110</f>
        <v>-1</v>
      </c>
      <c r="AT112" s="326">
        <f t="shared" ref="AT112" si="827">(AT111-AT110)/AT110</f>
        <v>-1</v>
      </c>
      <c r="AU112" s="326">
        <f t="shared" ref="AU112" si="828">(AU111-AU110)/AU110</f>
        <v>-1</v>
      </c>
      <c r="AV112" s="326">
        <f t="shared" ref="AV112" si="829">(AV111-AV110)/AV110</f>
        <v>-1</v>
      </c>
      <c r="AW112" s="326">
        <f t="shared" ref="AW112" si="830">(AW111-AW110)/AW110</f>
        <v>-1</v>
      </c>
      <c r="AX112" s="326">
        <f t="shared" ref="AX112" si="831">(AX111-AX110)/AX110</f>
        <v>-1</v>
      </c>
      <c r="AY112" s="326">
        <f t="shared" ref="AY112" si="832">(AY111-AY110)/AY110</f>
        <v>-1</v>
      </c>
      <c r="AZ112" s="326">
        <f t="shared" ref="AZ112" si="833">(AZ111-AZ110)/AZ110</f>
        <v>-1</v>
      </c>
      <c r="BA112" s="385">
        <f t="shared" ref="BA112" si="834">(BA111-BA110)/BA110</f>
        <v>-1</v>
      </c>
      <c r="BB112" s="326">
        <f t="shared" ref="BB112" si="835">(BB111-BB110)/BB110</f>
        <v>-1</v>
      </c>
      <c r="BC112" s="326">
        <f t="shared" ref="BC112" si="836">(BC111-BC110)/BC110</f>
        <v>-1</v>
      </c>
      <c r="BD112" s="326">
        <f t="shared" ref="BD112" si="837">(BD111-BD110)/BD110</f>
        <v>-1</v>
      </c>
      <c r="BE112" s="326">
        <f t="shared" ref="BE112" si="838">(BE111-BE110)/BE110</f>
        <v>-1</v>
      </c>
      <c r="BF112" s="326">
        <f t="shared" ref="BF112" si="839">(BF111-BF110)/BF110</f>
        <v>-1</v>
      </c>
      <c r="BG112" s="326">
        <f t="shared" ref="BG112" si="840">(BG111-BG110)/BG110</f>
        <v>-1</v>
      </c>
      <c r="BH112" s="326">
        <f t="shared" ref="BH112" si="841">(BH111-BH110)/BH110</f>
        <v>-1</v>
      </c>
      <c r="BI112" s="326">
        <f t="shared" ref="BI112" si="842">(BI111-BI110)/BI110</f>
        <v>-1</v>
      </c>
      <c r="BJ112" s="326">
        <f t="shared" ref="BJ112" si="843">(BJ111-BJ110)/BJ110</f>
        <v>-1</v>
      </c>
      <c r="BK112" s="326">
        <f t="shared" ref="BK112" si="844">(BK111-BK110)/BK110</f>
        <v>-1</v>
      </c>
      <c r="BL112" s="333">
        <f t="shared" ref="BL112" si="845">(BL111-BL110)/BL110</f>
        <v>-1</v>
      </c>
    </row>
    <row r="113" spans="1:64" ht="16" customHeight="1" x14ac:dyDescent="0.25">
      <c r="A113" s="609"/>
      <c r="B113" s="607"/>
      <c r="C113" s="372" t="s">
        <v>497</v>
      </c>
      <c r="D113" s="401" t="s">
        <v>56</v>
      </c>
      <c r="E113" s="396" t="e">
        <f>HLOOKUP(E$2,'Sponsoring marketplace'!$B$65:$BD$68,4)</f>
        <v>#N/A</v>
      </c>
      <c r="F113" s="374" t="e">
        <f>HLOOKUP(F$2,'Sponsoring marketplace'!$B$65:$BD$68,4)</f>
        <v>#N/A</v>
      </c>
      <c r="G113" s="374" t="e">
        <f>HLOOKUP(G$2,'Sponsoring marketplace'!$B$65:$BD$68,4)</f>
        <v>#N/A</v>
      </c>
      <c r="H113" s="374" t="e">
        <f>HLOOKUP(H$2,'Sponsoring marketplace'!$B$65:$BD$68,4)</f>
        <v>#N/A</v>
      </c>
      <c r="I113" s="374" t="e">
        <f>HLOOKUP(I$2,'Sponsoring marketplace'!$B$65:$BD$68,4)</f>
        <v>#N/A</v>
      </c>
      <c r="J113" s="374" t="e">
        <f>HLOOKUP(J$2,'Sponsoring marketplace'!$B$65:$BD$68,4)</f>
        <v>#N/A</v>
      </c>
      <c r="K113" s="374" t="e">
        <f>HLOOKUP(K$2,'Sponsoring marketplace'!$B$65:$BD$68,4)</f>
        <v>#N/A</v>
      </c>
      <c r="L113" s="374" t="e">
        <f>HLOOKUP(L$2,'Sponsoring marketplace'!$B$65:$BD$68,4)</f>
        <v>#N/A</v>
      </c>
      <c r="M113" s="374" t="e">
        <f>HLOOKUP(M$2,'Sponsoring marketplace'!$B$65:$BD$68,4)</f>
        <v>#N/A</v>
      </c>
      <c r="N113" s="374" t="e">
        <f>HLOOKUP(N$2,'Sponsoring marketplace'!$B$65:$BD$68,4)</f>
        <v>#N/A</v>
      </c>
      <c r="O113" s="374" t="e">
        <f>HLOOKUP(O$2,'Sponsoring marketplace'!$B$65:$BD$68,4)</f>
        <v>#N/A</v>
      </c>
      <c r="P113" s="397" t="e">
        <f>HLOOKUP(P$2,'Sponsoring marketplace'!$B$65:$BD$68,4)</f>
        <v>#N/A</v>
      </c>
      <c r="Q113" s="374" t="e">
        <f>HLOOKUP(Q$2,'Sponsoring marketplace'!$B$65:$BD$68,4)</f>
        <v>#N/A</v>
      </c>
      <c r="R113" s="374">
        <f>HLOOKUP(R$2,'Sponsoring marketplace'!$B$65:$BD$68,4)</f>
        <v>-20331.666666666668</v>
      </c>
      <c r="S113" s="374">
        <f>HLOOKUP(S$2,'Sponsoring marketplace'!$B$65:$BD$68,4)</f>
        <v>-20331.666666666668</v>
      </c>
      <c r="T113" s="374">
        <f>HLOOKUP(T$2,'Sponsoring marketplace'!$B$65:$BD$68,4)</f>
        <v>-20346.666666666668</v>
      </c>
      <c r="U113" s="374">
        <f>HLOOKUP(U$2,'Sponsoring marketplace'!$B$65:$BD$68,4)</f>
        <v>-20361.891666666666</v>
      </c>
      <c r="V113" s="374">
        <f>HLOOKUP(V$2,'Sponsoring marketplace'!$B$65:$BD$68,4)</f>
        <v>-20377.345041666667</v>
      </c>
      <c r="W113" s="374">
        <f>HLOOKUP(W$2,'Sponsoring marketplace'!$B$65:$BD$68,4)</f>
        <v>-20393.030217291667</v>
      </c>
      <c r="X113" s="374">
        <f>HLOOKUP(X$2,'Sponsoring marketplace'!$B$65:$BD$68,4)</f>
        <v>-20408.950670551043</v>
      </c>
      <c r="Y113" s="374">
        <f>HLOOKUP(Y$2,'Sponsoring marketplace'!$B$65:$BD$68,4)</f>
        <v>-10564.44326394264</v>
      </c>
      <c r="Z113" s="374">
        <f>HLOOKUP(Z$2,'Sponsoring marketplace'!$B$65:$BD$68,4)</f>
        <v>-10580.844912901779</v>
      </c>
      <c r="AA113" s="374">
        <f>HLOOKUP(AA$2,'Sponsoring marketplace'!$B$65:$BD$68,4)</f>
        <v>61160.808776560458</v>
      </c>
      <c r="AB113" s="374">
        <f>HLOOKUP(AB$2,'Sponsoring marketplace'!$B$65:$BD$68,4)</f>
        <v>72901.06980946855</v>
      </c>
      <c r="AC113" s="396">
        <f>HLOOKUP(AC$2,'Sponsoring marketplace'!$B$65:$BD$68,4)</f>
        <v>88588.962661638609</v>
      </c>
      <c r="AD113" s="374">
        <f>HLOOKUP(AD$2,'Sponsoring marketplace'!$B$65:$BD$68,4)</f>
        <v>114908.47322795668</v>
      </c>
      <c r="AE113" s="374">
        <f>HLOOKUP(AE$2,'Sponsoring marketplace'!$B$65:$BD$68,4)</f>
        <v>144890.97050650977</v>
      </c>
      <c r="AF113" s="374">
        <f>HLOOKUP(AF$2,'Sponsoring marketplace'!$B$65:$BD$68,4)</f>
        <v>178967.97653590835</v>
      </c>
      <c r="AG113" s="374">
        <f>HLOOKUP(AG$2,'Sponsoring marketplace'!$B$65:$BD$68,4)</f>
        <v>217618.79049275775</v>
      </c>
      <c r="AH113" s="374">
        <f>HLOOKUP(AH$2,'Sponsoring marketplace'!$B$65:$BD$68,4)</f>
        <v>261375.80222182669</v>
      </c>
      <c r="AI113" s="374">
        <f>HLOOKUP(AI$2,'Sponsoring marketplace'!$B$65:$BD$68,4)</f>
        <v>310830.44675883418</v>
      </c>
      <c r="AJ113" s="374">
        <f>HLOOKUP(AJ$2,'Sponsoring marketplace'!$B$65:$BD$68,4)</f>
        <v>366639.89116072166</v>
      </c>
      <c r="AK113" s="374">
        <f>HLOOKUP(AK$2,'Sponsoring marketplace'!$B$65:$BD$68,4)</f>
        <v>429534.56092566601</v>
      </c>
      <c r="AL113" s="374">
        <f>HLOOKUP(AL$2,'Sponsoring marketplace'!$B$65:$BD$68,4)</f>
        <v>500326.63254007825</v>
      </c>
      <c r="AM113" s="374">
        <f>HLOOKUP(AM$2,'Sponsoring marketplace'!$B$65:$BD$68,4)</f>
        <v>579919.64197468944</v>
      </c>
      <c r="AN113" s="397">
        <f>HLOOKUP(AN$2,'Sponsoring marketplace'!$B$65:$BD$68,4)</f>
        <v>669319.38718361082</v>
      </c>
      <c r="AO113" s="374">
        <f>HLOOKUP(AO$2,'Sponsoring marketplace'!$B$65:$BD$68,4)</f>
        <v>769646.33697261754</v>
      </c>
      <c r="AP113" s="374">
        <f>HLOOKUP(AP$2,'Sponsoring marketplace'!$B$65:$BD$68,4)</f>
        <v>903867.15189497685</v>
      </c>
      <c r="AQ113" s="374">
        <f>HLOOKUP(AQ$2,'Sponsoring marketplace'!$B$65:$BD$68,4)</f>
        <v>1055250.3313513184</v>
      </c>
      <c r="AR113" s="374">
        <f>HLOOKUP(AR$2,'Sponsoring marketplace'!$B$65:$BD$68,4)</f>
        <v>1225798.9822793962</v>
      </c>
      <c r="AS113" s="374">
        <f>HLOOKUP(AS$2,'Sponsoring marketplace'!$B$65:$BD$68,4)</f>
        <v>1417750.4589611855</v>
      </c>
      <c r="AT113" s="374">
        <f>HLOOKUP(AT$2,'Sponsoring marketplace'!$B$65:$BD$68,4)</f>
        <v>1633606.3686865033</v>
      </c>
      <c r="AU113" s="374">
        <f>HLOOKUP(AU$2,'Sponsoring marketplace'!$B$65:$BD$68,4)</f>
        <v>1876167.1438334736</v>
      </c>
      <c r="AV113" s="374">
        <f>HLOOKUP(AV$2,'Sponsoring marketplace'!$B$65:$BD$68,4)</f>
        <v>2148572.0226893406</v>
      </c>
      <c r="AW113" s="374">
        <f>HLOOKUP(AW$2,'Sponsoring marketplace'!$B$65:$BD$68,4)</f>
        <v>2454345.4601993416</v>
      </c>
      <c r="AX113" s="374">
        <f>HLOOKUP(AX$2,'Sponsoring marketplace'!$B$65:$BD$68,4)</f>
        <v>2797451.2096510502</v>
      </c>
      <c r="AY113" s="374">
        <f>HLOOKUP(AY$2,'Sponsoring marketplace'!$B$65:$BD$68,4)</f>
        <v>3182355.5867737252</v>
      </c>
      <c r="AZ113" s="374">
        <f>HLOOKUP(AZ$2,'Sponsoring marketplace'!$B$65:$BD$68,4)</f>
        <v>3614101.7608812246</v>
      </c>
      <c r="BA113" s="396">
        <f>HLOOKUP(BA$2,'Sponsoring marketplace'!$B$65:$BD$68,4)</f>
        <v>4098397.3284261245</v>
      </c>
      <c r="BB113" s="374">
        <f>HLOOKUP(BB$2,'Sponsoring marketplace'!$B$65:$BD$68,4)</f>
        <v>4674530.7224941356</v>
      </c>
      <c r="BC113" s="374">
        <f>HLOOKUP(BC$2,'Sponsoring marketplace'!$B$65:$BD$68,4)</f>
        <v>5322482.2437828844</v>
      </c>
      <c r="BD113" s="374">
        <f>HLOOKUP(BD$2,'Sponsoring marketplace'!$B$65:$BD$68,4)</f>
        <v>6051328.6906544417</v>
      </c>
      <c r="BE113" s="374">
        <f>HLOOKUP(BE$2,'Sponsoring marketplace'!$B$65:$BD$68,4)</f>
        <v>6871446.4353718143</v>
      </c>
      <c r="BF113" s="374">
        <f>HLOOKUP(BF$2,'Sponsoring marketplace'!$B$65:$BD$68,4)</f>
        <v>7794695.994136869</v>
      </c>
      <c r="BG113" s="374">
        <f>HLOOKUP(BG$2,'Sponsoring marketplace'!$B$65:$BD$68,4)</f>
        <v>8834713.9592020251</v>
      </c>
      <c r="BH113" s="374">
        <f>HLOOKUP(BH$2,'Sponsoring marketplace'!$B$65:$BD$68,4)</f>
        <v>10007218.478534281</v>
      </c>
      <c r="BI113" s="374">
        <f>HLOOKUP(BI$2,'Sponsoring marketplace'!$B$65:$BD$68,4)</f>
        <v>11330389.107478701</v>
      </c>
      <c r="BJ113" s="374">
        <f>HLOOKUP(BJ$2,'Sponsoring marketplace'!$B$65:$BD$68,4)</f>
        <v>12825326.450826989</v>
      </c>
      <c r="BK113" s="374">
        <f>HLOOKUP(BK$2,'Sponsoring marketplace'!$B$65:$BD$68,4)</f>
        <v>14516609.747198064</v>
      </c>
      <c r="BL113" s="397">
        <f>HLOOKUP(BL$2,'Sponsoring marketplace'!$B$65:$BD$68,4)</f>
        <v>16432974.832168039</v>
      </c>
    </row>
    <row r="114" spans="1:64" ht="17" x14ac:dyDescent="0.25">
      <c r="A114" s="609"/>
      <c r="B114" s="607"/>
      <c r="C114" s="373" t="s">
        <v>498</v>
      </c>
      <c r="D114" s="402" t="s">
        <v>56</v>
      </c>
      <c r="E114" s="388">
        <f>E108-E111</f>
        <v>0</v>
      </c>
      <c r="F114" s="344">
        <f t="shared" ref="F114:BL114" si="846">F108-F111</f>
        <v>0</v>
      </c>
      <c r="G114" s="344">
        <f t="shared" si="846"/>
        <v>0</v>
      </c>
      <c r="H114" s="344">
        <f t="shared" si="846"/>
        <v>0</v>
      </c>
      <c r="I114" s="344">
        <f t="shared" si="846"/>
        <v>0</v>
      </c>
      <c r="J114" s="344">
        <f t="shared" si="846"/>
        <v>0</v>
      </c>
      <c r="K114" s="344">
        <f t="shared" si="846"/>
        <v>0</v>
      </c>
      <c r="L114" s="344">
        <f t="shared" si="846"/>
        <v>0</v>
      </c>
      <c r="M114" s="344">
        <f t="shared" si="846"/>
        <v>0</v>
      </c>
      <c r="N114" s="344">
        <f t="shared" si="846"/>
        <v>0</v>
      </c>
      <c r="O114" s="344">
        <f t="shared" si="846"/>
        <v>0</v>
      </c>
      <c r="P114" s="345">
        <f t="shared" si="846"/>
        <v>0</v>
      </c>
      <c r="Q114" s="344">
        <f t="shared" si="846"/>
        <v>0</v>
      </c>
      <c r="R114" s="344">
        <f t="shared" si="846"/>
        <v>0</v>
      </c>
      <c r="S114" s="344">
        <f t="shared" si="846"/>
        <v>0</v>
      </c>
      <c r="T114" s="344">
        <f t="shared" si="846"/>
        <v>0</v>
      </c>
      <c r="U114" s="344">
        <f t="shared" si="846"/>
        <v>0</v>
      </c>
      <c r="V114" s="344">
        <f t="shared" si="846"/>
        <v>0</v>
      </c>
      <c r="W114" s="344">
        <f t="shared" si="846"/>
        <v>0</v>
      </c>
      <c r="X114" s="344">
        <f t="shared" si="846"/>
        <v>0</v>
      </c>
      <c r="Y114" s="344">
        <f t="shared" si="846"/>
        <v>0</v>
      </c>
      <c r="Z114" s="344">
        <f t="shared" si="846"/>
        <v>0</v>
      </c>
      <c r="AA114" s="344">
        <f t="shared" si="846"/>
        <v>0</v>
      </c>
      <c r="AB114" s="344">
        <f t="shared" si="846"/>
        <v>0</v>
      </c>
      <c r="AC114" s="388">
        <f t="shared" si="846"/>
        <v>0</v>
      </c>
      <c r="AD114" s="344">
        <f t="shared" si="846"/>
        <v>0</v>
      </c>
      <c r="AE114" s="344">
        <f t="shared" si="846"/>
        <v>0</v>
      </c>
      <c r="AF114" s="344">
        <f t="shared" si="846"/>
        <v>0</v>
      </c>
      <c r="AG114" s="344">
        <f t="shared" si="846"/>
        <v>0</v>
      </c>
      <c r="AH114" s="344">
        <f t="shared" si="846"/>
        <v>0</v>
      </c>
      <c r="AI114" s="344">
        <f t="shared" si="846"/>
        <v>0</v>
      </c>
      <c r="AJ114" s="344">
        <f t="shared" si="846"/>
        <v>0</v>
      </c>
      <c r="AK114" s="344">
        <f t="shared" si="846"/>
        <v>0</v>
      </c>
      <c r="AL114" s="344">
        <f t="shared" si="846"/>
        <v>0</v>
      </c>
      <c r="AM114" s="344">
        <f t="shared" si="846"/>
        <v>0</v>
      </c>
      <c r="AN114" s="345">
        <f t="shared" si="846"/>
        <v>0</v>
      </c>
      <c r="AO114" s="344">
        <f t="shared" si="846"/>
        <v>0</v>
      </c>
      <c r="AP114" s="344">
        <f t="shared" si="846"/>
        <v>0</v>
      </c>
      <c r="AQ114" s="344">
        <f t="shared" si="846"/>
        <v>0</v>
      </c>
      <c r="AR114" s="344">
        <f t="shared" si="846"/>
        <v>0</v>
      </c>
      <c r="AS114" s="344">
        <f t="shared" si="846"/>
        <v>0</v>
      </c>
      <c r="AT114" s="344">
        <f t="shared" si="846"/>
        <v>0</v>
      </c>
      <c r="AU114" s="344">
        <f t="shared" si="846"/>
        <v>0</v>
      </c>
      <c r="AV114" s="344">
        <f t="shared" si="846"/>
        <v>0</v>
      </c>
      <c r="AW114" s="344">
        <f t="shared" si="846"/>
        <v>0</v>
      </c>
      <c r="AX114" s="344">
        <f t="shared" si="846"/>
        <v>0</v>
      </c>
      <c r="AY114" s="344">
        <f t="shared" si="846"/>
        <v>0</v>
      </c>
      <c r="AZ114" s="344">
        <f t="shared" si="846"/>
        <v>0</v>
      </c>
      <c r="BA114" s="388">
        <f t="shared" si="846"/>
        <v>0</v>
      </c>
      <c r="BB114" s="344">
        <f t="shared" si="846"/>
        <v>0</v>
      </c>
      <c r="BC114" s="344">
        <f t="shared" si="846"/>
        <v>0</v>
      </c>
      <c r="BD114" s="344">
        <f t="shared" si="846"/>
        <v>0</v>
      </c>
      <c r="BE114" s="344">
        <f t="shared" si="846"/>
        <v>0</v>
      </c>
      <c r="BF114" s="344">
        <f t="shared" si="846"/>
        <v>0</v>
      </c>
      <c r="BG114" s="344">
        <f t="shared" si="846"/>
        <v>0</v>
      </c>
      <c r="BH114" s="344">
        <f t="shared" si="846"/>
        <v>0</v>
      </c>
      <c r="BI114" s="344">
        <f t="shared" si="846"/>
        <v>0</v>
      </c>
      <c r="BJ114" s="344">
        <f t="shared" si="846"/>
        <v>0</v>
      </c>
      <c r="BK114" s="344">
        <f t="shared" si="846"/>
        <v>0</v>
      </c>
      <c r="BL114" s="345">
        <f t="shared" si="846"/>
        <v>0</v>
      </c>
    </row>
    <row r="115" spans="1:64" ht="17" thickBot="1" x14ac:dyDescent="0.3">
      <c r="A115" s="610"/>
      <c r="B115" s="611"/>
      <c r="C115" s="424" t="s">
        <v>507</v>
      </c>
      <c r="D115" s="404" t="s">
        <v>499</v>
      </c>
      <c r="E115" s="425" t="e">
        <f>E114-E113</f>
        <v>#N/A</v>
      </c>
      <c r="F115" s="359" t="e">
        <f t="shared" ref="F115" si="847">F114-F113</f>
        <v>#N/A</v>
      </c>
      <c r="G115" s="359" t="e">
        <f t="shared" ref="G115" si="848">G114-G113</f>
        <v>#N/A</v>
      </c>
      <c r="H115" s="359" t="e">
        <f t="shared" ref="H115" si="849">H114-H113</f>
        <v>#N/A</v>
      </c>
      <c r="I115" s="359" t="e">
        <f t="shared" ref="I115" si="850">I114-I113</f>
        <v>#N/A</v>
      </c>
      <c r="J115" s="359" t="e">
        <f t="shared" ref="J115" si="851">J114-J113</f>
        <v>#N/A</v>
      </c>
      <c r="K115" s="359" t="e">
        <f t="shared" ref="K115" si="852">K114-K113</f>
        <v>#N/A</v>
      </c>
      <c r="L115" s="359" t="e">
        <f t="shared" ref="L115" si="853">L114-L113</f>
        <v>#N/A</v>
      </c>
      <c r="M115" s="359" t="e">
        <f t="shared" ref="M115" si="854">M114-M113</f>
        <v>#N/A</v>
      </c>
      <c r="N115" s="359" t="e">
        <f t="shared" ref="N115" si="855">N114-N113</f>
        <v>#N/A</v>
      </c>
      <c r="O115" s="359" t="e">
        <f t="shared" ref="O115" si="856">O114-O113</f>
        <v>#N/A</v>
      </c>
      <c r="P115" s="360" t="e">
        <f t="shared" ref="P115" si="857">P114-P113</f>
        <v>#N/A</v>
      </c>
      <c r="Q115" s="359" t="e">
        <f t="shared" ref="Q115" si="858">Q114-Q113</f>
        <v>#N/A</v>
      </c>
      <c r="R115" s="359">
        <f t="shared" ref="R115" si="859">R114-R113</f>
        <v>20331.666666666668</v>
      </c>
      <c r="S115" s="359">
        <f>S114-S113</f>
        <v>20331.666666666668</v>
      </c>
      <c r="T115" s="359">
        <f t="shared" ref="T115" si="860">T114-T113</f>
        <v>20346.666666666668</v>
      </c>
      <c r="U115" s="359">
        <f t="shared" ref="U115" si="861">U114-U113</f>
        <v>20361.891666666666</v>
      </c>
      <c r="V115" s="359">
        <f t="shared" ref="V115" si="862">V114-V113</f>
        <v>20377.345041666667</v>
      </c>
      <c r="W115" s="359">
        <f t="shared" ref="W115" si="863">W114-W113</f>
        <v>20393.030217291667</v>
      </c>
      <c r="X115" s="359">
        <f t="shared" ref="X115" si="864">X114-X113</f>
        <v>20408.950670551043</v>
      </c>
      <c r="Y115" s="359">
        <f t="shared" ref="Y115" si="865">Y114-Y113</f>
        <v>10564.44326394264</v>
      </c>
      <c r="Z115" s="359">
        <f t="shared" ref="Z115" si="866">Z114-Z113</f>
        <v>10580.844912901779</v>
      </c>
      <c r="AA115" s="359">
        <f t="shared" ref="AA115" si="867">AA114-AA113</f>
        <v>-61160.808776560458</v>
      </c>
      <c r="AB115" s="359">
        <f t="shared" ref="AB115" si="868">AB114-AB113</f>
        <v>-72901.06980946855</v>
      </c>
      <c r="AC115" s="425">
        <f t="shared" ref="AC115" si="869">AC114-AC113</f>
        <v>-88588.962661638609</v>
      </c>
      <c r="AD115" s="359">
        <f t="shared" ref="AD115" si="870">AD114-AD113</f>
        <v>-114908.47322795668</v>
      </c>
      <c r="AE115" s="359">
        <f t="shared" ref="AE115" si="871">AE114-AE113</f>
        <v>-144890.97050650977</v>
      </c>
      <c r="AF115" s="359">
        <f t="shared" ref="AF115" si="872">AF114-AF113</f>
        <v>-178967.97653590835</v>
      </c>
      <c r="AG115" s="359">
        <f t="shared" ref="AG115" si="873">AG114-AG113</f>
        <v>-217618.79049275775</v>
      </c>
      <c r="AH115" s="359">
        <f t="shared" ref="AH115" si="874">AH114-AH113</f>
        <v>-261375.80222182669</v>
      </c>
      <c r="AI115" s="359">
        <f t="shared" ref="AI115" si="875">AI114-AI113</f>
        <v>-310830.44675883418</v>
      </c>
      <c r="AJ115" s="359">
        <f t="shared" ref="AJ115" si="876">AJ114-AJ113</f>
        <v>-366639.89116072166</v>
      </c>
      <c r="AK115" s="359">
        <f t="shared" ref="AK115" si="877">AK114-AK113</f>
        <v>-429534.56092566601</v>
      </c>
      <c r="AL115" s="359">
        <f t="shared" ref="AL115" si="878">AL114-AL113</f>
        <v>-500326.63254007825</v>
      </c>
      <c r="AM115" s="359">
        <f t="shared" ref="AM115" si="879">AM114-AM113</f>
        <v>-579919.64197468944</v>
      </c>
      <c r="AN115" s="360">
        <f t="shared" ref="AN115" si="880">AN114-AN113</f>
        <v>-669319.38718361082</v>
      </c>
      <c r="AO115" s="359">
        <f t="shared" ref="AO115" si="881">AO114-AO113</f>
        <v>-769646.33697261754</v>
      </c>
      <c r="AP115" s="359">
        <f t="shared" ref="AP115" si="882">AP114-AP113</f>
        <v>-903867.15189497685</v>
      </c>
      <c r="AQ115" s="359">
        <f t="shared" ref="AQ115" si="883">AQ114-AQ113</f>
        <v>-1055250.3313513184</v>
      </c>
      <c r="AR115" s="359">
        <f t="shared" ref="AR115" si="884">AR114-AR113</f>
        <v>-1225798.9822793962</v>
      </c>
      <c r="AS115" s="359">
        <f t="shared" ref="AS115" si="885">AS114-AS113</f>
        <v>-1417750.4589611855</v>
      </c>
      <c r="AT115" s="359">
        <f t="shared" ref="AT115" si="886">AT114-AT113</f>
        <v>-1633606.3686865033</v>
      </c>
      <c r="AU115" s="359">
        <f t="shared" ref="AU115" si="887">AU114-AU113</f>
        <v>-1876167.1438334736</v>
      </c>
      <c r="AV115" s="359">
        <f t="shared" ref="AV115" si="888">AV114-AV113</f>
        <v>-2148572.0226893406</v>
      </c>
      <c r="AW115" s="359">
        <f t="shared" ref="AW115" si="889">AW114-AW113</f>
        <v>-2454345.4601993416</v>
      </c>
      <c r="AX115" s="359">
        <f t="shared" ref="AX115" si="890">AX114-AX113</f>
        <v>-2797451.2096510502</v>
      </c>
      <c r="AY115" s="359">
        <f t="shared" ref="AY115" si="891">AY114-AY113</f>
        <v>-3182355.5867737252</v>
      </c>
      <c r="AZ115" s="359">
        <f t="shared" ref="AZ115" si="892">AZ114-AZ113</f>
        <v>-3614101.7608812246</v>
      </c>
      <c r="BA115" s="425">
        <f t="shared" ref="BA115" si="893">BA114-BA113</f>
        <v>-4098397.3284261245</v>
      </c>
      <c r="BB115" s="359">
        <f t="shared" ref="BB115" si="894">BB114-BB113</f>
        <v>-4674530.7224941356</v>
      </c>
      <c r="BC115" s="359">
        <f t="shared" ref="BC115" si="895">BC114-BC113</f>
        <v>-5322482.2437828844</v>
      </c>
      <c r="BD115" s="359">
        <f t="shared" ref="BD115" si="896">BD114-BD113</f>
        <v>-6051328.6906544417</v>
      </c>
      <c r="BE115" s="359">
        <f t="shared" ref="BE115" si="897">BE114-BE113</f>
        <v>-6871446.4353718143</v>
      </c>
      <c r="BF115" s="359">
        <f t="shared" ref="BF115" si="898">BF114-BF113</f>
        <v>-7794695.994136869</v>
      </c>
      <c r="BG115" s="359">
        <f t="shared" ref="BG115" si="899">BG114-BG113</f>
        <v>-8834713.9592020251</v>
      </c>
      <c r="BH115" s="359">
        <f t="shared" ref="BH115" si="900">BH114-BH113</f>
        <v>-10007218.478534281</v>
      </c>
      <c r="BI115" s="359">
        <f t="shared" ref="BI115" si="901">BI114-BI113</f>
        <v>-11330389.107478701</v>
      </c>
      <c r="BJ115" s="359">
        <f t="shared" ref="BJ115" si="902">BJ114-BJ113</f>
        <v>-12825326.450826989</v>
      </c>
      <c r="BK115" s="359">
        <f t="shared" ref="BK115" si="903">BK114-BK113</f>
        <v>-14516609.747198064</v>
      </c>
      <c r="BL115" s="360">
        <f t="shared" ref="BL115" si="904">BL114-BL113</f>
        <v>-16432974.832168039</v>
      </c>
    </row>
    <row r="116" spans="1:64" ht="17" x14ac:dyDescent="0.25">
      <c r="A116" s="608">
        <v>7</v>
      </c>
      <c r="B116" s="606" t="str">
        <f>'Digital goods marketplace'!A1</f>
        <v>BM5 : Digital goods marketplace</v>
      </c>
      <c r="C116" s="420" t="s">
        <v>497</v>
      </c>
      <c r="D116" s="405" t="s">
        <v>518</v>
      </c>
      <c r="E116" s="421">
        <f>'Digital goods marketplace'!B16</f>
        <v>90</v>
      </c>
      <c r="F116" s="329"/>
      <c r="G116" s="329"/>
      <c r="H116" s="329"/>
      <c r="I116" s="329"/>
      <c r="J116" s="329"/>
      <c r="K116" s="329"/>
      <c r="L116" s="329"/>
      <c r="M116" s="329"/>
      <c r="N116" s="329"/>
      <c r="O116" s="329"/>
      <c r="P116" s="422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  <c r="AA116" s="329"/>
      <c r="AB116" s="329"/>
      <c r="AC116" s="423"/>
      <c r="AD116" s="329"/>
      <c r="AE116" s="329"/>
      <c r="AF116" s="329"/>
      <c r="AG116" s="329"/>
      <c r="AH116" s="329"/>
      <c r="AI116" s="329"/>
      <c r="AJ116" s="329"/>
      <c r="AK116" s="329"/>
      <c r="AL116" s="329"/>
      <c r="AM116" s="329"/>
      <c r="AN116" s="422"/>
      <c r="AO116" s="329"/>
      <c r="AP116" s="329"/>
      <c r="AQ116" s="329"/>
      <c r="AR116" s="329"/>
      <c r="AS116" s="329"/>
      <c r="AT116" s="329"/>
      <c r="AU116" s="329"/>
      <c r="AV116" s="329"/>
      <c r="AW116" s="329"/>
      <c r="AX116" s="329"/>
      <c r="AY116" s="329"/>
      <c r="AZ116" s="329"/>
      <c r="BA116" s="423"/>
      <c r="BB116" s="329"/>
      <c r="BC116" s="329"/>
      <c r="BD116" s="329"/>
      <c r="BE116" s="329"/>
      <c r="BF116" s="329"/>
      <c r="BG116" s="329"/>
      <c r="BH116" s="329"/>
      <c r="BI116" s="329"/>
      <c r="BJ116" s="329"/>
      <c r="BK116" s="329"/>
      <c r="BL116" s="422"/>
    </row>
    <row r="117" spans="1:64" ht="17" x14ac:dyDescent="0.25">
      <c r="A117" s="609"/>
      <c r="B117" s="607"/>
      <c r="C117" s="373" t="s">
        <v>498</v>
      </c>
      <c r="D117" s="402" t="s">
        <v>518</v>
      </c>
      <c r="E117" s="409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352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399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352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399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352"/>
    </row>
    <row r="118" spans="1:64" x14ac:dyDescent="0.25">
      <c r="A118" s="609"/>
      <c r="B118" s="607"/>
      <c r="C118" s="370" t="s">
        <v>507</v>
      </c>
      <c r="D118" s="403" t="s">
        <v>499</v>
      </c>
      <c r="E118" s="410">
        <f>E117-E116</f>
        <v>-90</v>
      </c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352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399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352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399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352"/>
    </row>
    <row r="119" spans="1:64" ht="17" x14ac:dyDescent="0.25">
      <c r="A119" s="609"/>
      <c r="B119" s="607"/>
      <c r="C119" s="372" t="s">
        <v>497</v>
      </c>
      <c r="D119" s="401" t="s">
        <v>519</v>
      </c>
      <c r="E119" s="408" cm="1">
        <f t="array" ref="E119:F119">'Digital goods marketplace'!B13:C13</f>
        <v>11</v>
      </c>
      <c r="F119" s="53">
        <v>0</v>
      </c>
      <c r="G119" s="53"/>
      <c r="H119" s="53"/>
      <c r="I119" s="53"/>
      <c r="J119" s="53"/>
      <c r="K119" s="53"/>
      <c r="L119" s="53"/>
      <c r="M119" s="53"/>
      <c r="N119" s="53"/>
      <c r="O119" s="53"/>
      <c r="P119" s="352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399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352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399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352"/>
    </row>
    <row r="120" spans="1:64" ht="17" x14ac:dyDescent="0.25">
      <c r="A120" s="609"/>
      <c r="B120" s="607"/>
      <c r="C120" s="373" t="s">
        <v>498</v>
      </c>
      <c r="D120" s="402" t="s">
        <v>519</v>
      </c>
      <c r="E120" s="409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352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399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352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399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352"/>
    </row>
    <row r="121" spans="1:64" x14ac:dyDescent="0.25">
      <c r="A121" s="609"/>
      <c r="B121" s="607"/>
      <c r="C121" s="370" t="s">
        <v>507</v>
      </c>
      <c r="D121" s="403" t="s">
        <v>499</v>
      </c>
      <c r="E121" s="410">
        <f>E120-E119</f>
        <v>-11</v>
      </c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352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399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352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399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352"/>
    </row>
    <row r="122" spans="1:64" ht="17" x14ac:dyDescent="0.25">
      <c r="A122" s="609"/>
      <c r="B122" s="607"/>
      <c r="C122" s="372" t="s">
        <v>497</v>
      </c>
      <c r="D122" s="401" t="s">
        <v>521</v>
      </c>
      <c r="E122" s="396">
        <f>'Digital goods marketplace'!F13</f>
        <v>74725</v>
      </c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352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399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352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399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352"/>
    </row>
    <row r="123" spans="1:64" ht="17" x14ac:dyDescent="0.25">
      <c r="A123" s="609"/>
      <c r="B123" s="607"/>
      <c r="C123" s="373" t="s">
        <v>498</v>
      </c>
      <c r="D123" s="402" t="s">
        <v>519</v>
      </c>
      <c r="E123" s="388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352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399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352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399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352"/>
    </row>
    <row r="124" spans="1:64" x14ac:dyDescent="0.25">
      <c r="A124" s="609"/>
      <c r="B124" s="607"/>
      <c r="C124" s="370" t="s">
        <v>507</v>
      </c>
      <c r="D124" s="403" t="s">
        <v>499</v>
      </c>
      <c r="E124" s="413">
        <f>E123-E122</f>
        <v>-74725</v>
      </c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352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399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352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399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352"/>
    </row>
    <row r="125" spans="1:64" ht="17" x14ac:dyDescent="0.25">
      <c r="A125" s="609"/>
      <c r="B125" s="607"/>
      <c r="C125" s="372" t="s">
        <v>497</v>
      </c>
      <c r="D125" s="401" t="s">
        <v>520</v>
      </c>
      <c r="E125" s="408">
        <f>'Digital goods marketplace'!B19</f>
        <v>30</v>
      </c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352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399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352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399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352"/>
    </row>
    <row r="126" spans="1:64" ht="17" x14ac:dyDescent="0.25">
      <c r="A126" s="609"/>
      <c r="B126" s="607"/>
      <c r="C126" s="373" t="s">
        <v>498</v>
      </c>
      <c r="D126" s="402" t="s">
        <v>520</v>
      </c>
      <c r="E126" s="409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352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399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352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399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352"/>
    </row>
    <row r="127" spans="1:64" x14ac:dyDescent="0.25">
      <c r="A127" s="609"/>
      <c r="B127" s="607"/>
      <c r="C127" s="370" t="s">
        <v>507</v>
      </c>
      <c r="D127" s="403" t="s">
        <v>499</v>
      </c>
      <c r="E127" s="410">
        <f>E126-E125</f>
        <v>-30</v>
      </c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352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399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352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399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352"/>
    </row>
    <row r="128" spans="1:64" ht="17" x14ac:dyDescent="0.25">
      <c r="A128" s="609"/>
      <c r="B128" s="607"/>
      <c r="C128" s="372" t="s">
        <v>497</v>
      </c>
      <c r="D128" s="401" t="s">
        <v>522</v>
      </c>
      <c r="E128" s="396">
        <f>'Digital goods marketplace'!M13</f>
        <v>9471</v>
      </c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352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399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352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399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352"/>
    </row>
    <row r="129" spans="1:64" ht="17" x14ac:dyDescent="0.25">
      <c r="A129" s="609"/>
      <c r="B129" s="607"/>
      <c r="C129" s="373" t="s">
        <v>498</v>
      </c>
      <c r="D129" s="402" t="s">
        <v>522</v>
      </c>
      <c r="E129" s="388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352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399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352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399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352"/>
    </row>
    <row r="130" spans="1:64" x14ac:dyDescent="0.25">
      <c r="A130" s="609"/>
      <c r="B130" s="607"/>
      <c r="C130" s="370" t="s">
        <v>507</v>
      </c>
      <c r="D130" s="403" t="s">
        <v>499</v>
      </c>
      <c r="E130" s="413">
        <f>E129-E128</f>
        <v>-9471</v>
      </c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352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399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352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399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352"/>
    </row>
    <row r="131" spans="1:64" ht="17" x14ac:dyDescent="0.25">
      <c r="A131" s="609"/>
      <c r="B131" s="607"/>
      <c r="C131" s="372" t="s">
        <v>497</v>
      </c>
      <c r="D131" s="401" t="s">
        <v>410</v>
      </c>
      <c r="E131" s="408">
        <f>'Digital goods marketplace'!B76</f>
        <v>4</v>
      </c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352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399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352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399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352"/>
    </row>
    <row r="132" spans="1:64" ht="17" x14ac:dyDescent="0.25">
      <c r="A132" s="609"/>
      <c r="B132" s="607"/>
      <c r="C132" s="373" t="s">
        <v>498</v>
      </c>
      <c r="D132" s="402" t="str">
        <f>D131</f>
        <v>N° of months before 1st revenues</v>
      </c>
      <c r="E132" s="409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352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399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352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399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352"/>
    </row>
    <row r="133" spans="1:64" x14ac:dyDescent="0.25">
      <c r="A133" s="609"/>
      <c r="B133" s="607"/>
      <c r="C133" s="370" t="s">
        <v>507</v>
      </c>
      <c r="D133" s="403" t="s">
        <v>499</v>
      </c>
      <c r="E133" s="410">
        <f>E132-E131</f>
        <v>-4</v>
      </c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352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399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352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399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352"/>
    </row>
    <row r="134" spans="1:64" ht="17" x14ac:dyDescent="0.25">
      <c r="A134" s="609"/>
      <c r="B134" s="607"/>
      <c r="C134" s="372" t="s">
        <v>497</v>
      </c>
      <c r="D134" s="401" t="s">
        <v>409</v>
      </c>
      <c r="E134" s="408">
        <f>'Digital goods marketplace'!B77</f>
        <v>4</v>
      </c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352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399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352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399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352"/>
    </row>
    <row r="135" spans="1:64" ht="17" x14ac:dyDescent="0.25">
      <c r="A135" s="609"/>
      <c r="B135" s="607"/>
      <c r="C135" s="373" t="s">
        <v>498</v>
      </c>
      <c r="D135" s="402" t="str">
        <f>D134</f>
        <v>N° of months before breakeven</v>
      </c>
      <c r="E135" s="409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352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399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352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399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352"/>
    </row>
    <row r="136" spans="1:64" x14ac:dyDescent="0.25">
      <c r="A136" s="609"/>
      <c r="B136" s="607"/>
      <c r="C136" s="370" t="s">
        <v>507</v>
      </c>
      <c r="D136" s="403" t="s">
        <v>499</v>
      </c>
      <c r="E136" s="410">
        <f>E135-E134</f>
        <v>-4</v>
      </c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352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399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352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399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352"/>
    </row>
    <row r="137" spans="1:64" ht="17" x14ac:dyDescent="0.25">
      <c r="A137" s="609"/>
      <c r="B137" s="607"/>
      <c r="C137" s="372" t="s">
        <v>497</v>
      </c>
      <c r="D137" s="402" t="s">
        <v>523</v>
      </c>
      <c r="E137" s="394" t="e">
        <f>HLOOKUP(E$2,'Digital goods marketplace'!$B$38:$BD$43,6)</f>
        <v>#N/A</v>
      </c>
      <c r="F137" s="327" t="e">
        <f>HLOOKUP(F$2,'Digital goods marketplace'!$B$38:$BD$43,6)</f>
        <v>#N/A</v>
      </c>
      <c r="G137" s="327" t="e">
        <f>HLOOKUP(G$2,'Digital goods marketplace'!$B$38:$BD$43,6)</f>
        <v>#N/A</v>
      </c>
      <c r="H137" s="327" t="e">
        <f>HLOOKUP(H$2,'Digital goods marketplace'!$B$38:$BD$43,6)</f>
        <v>#N/A</v>
      </c>
      <c r="I137" s="327" t="e">
        <f>HLOOKUP(I$2,'Digital goods marketplace'!$B$38:$BD$43,6)</f>
        <v>#N/A</v>
      </c>
      <c r="J137" s="327" t="e">
        <f>HLOOKUP(J$2,'Digital goods marketplace'!$B$38:$BD$43,6)</f>
        <v>#N/A</v>
      </c>
      <c r="K137" s="327" t="e">
        <f>HLOOKUP(K$2,'Digital goods marketplace'!$B$38:$BD$43,6)</f>
        <v>#N/A</v>
      </c>
      <c r="L137" s="327" t="e">
        <f>HLOOKUP(L$2,'Digital goods marketplace'!$B$38:$BD$43,6)</f>
        <v>#N/A</v>
      </c>
      <c r="M137" s="327" t="e">
        <f>HLOOKUP(M$2,'Digital goods marketplace'!$B$38:$BD$43,6)</f>
        <v>#N/A</v>
      </c>
      <c r="N137" s="327" t="e">
        <f>HLOOKUP(N$2,'Digital goods marketplace'!$B$38:$BD$43,6)</f>
        <v>#N/A</v>
      </c>
      <c r="O137" s="327" t="e">
        <f>HLOOKUP(O$2,'Digital goods marketplace'!$B$38:$BD$43,6)</f>
        <v>#N/A</v>
      </c>
      <c r="P137" s="334" t="e">
        <f>HLOOKUP(P$2,'Digital goods marketplace'!$B$38:$BD$43,6)</f>
        <v>#N/A</v>
      </c>
      <c r="Q137" s="327" t="e">
        <f>HLOOKUP(Q$2,'Digital goods marketplace'!$B$38:$BD$43,6)</f>
        <v>#N/A</v>
      </c>
      <c r="R137" s="327" t="e">
        <f>HLOOKUP(R$2,'Digital goods marketplace'!$B$38:$BD$43,6)</f>
        <v>#N/A</v>
      </c>
      <c r="S137" s="327" t="e">
        <f>HLOOKUP(S$2,'Digital goods marketplace'!$B$38:$BD$43,6)</f>
        <v>#N/A</v>
      </c>
      <c r="T137" s="327" t="e">
        <f>HLOOKUP(T$2,'Digital goods marketplace'!$B$38:$BD$43,6)</f>
        <v>#N/A</v>
      </c>
      <c r="U137" s="327" t="e">
        <f>HLOOKUP(U$2,'Digital goods marketplace'!$B$38:$BD$43,6)</f>
        <v>#N/A</v>
      </c>
      <c r="V137" s="327" t="e">
        <f>HLOOKUP(V$2,'Digital goods marketplace'!$B$38:$BD$43,6)</f>
        <v>#N/A</v>
      </c>
      <c r="W137" s="327" t="e">
        <f>HLOOKUP(W$2,'Digital goods marketplace'!$B$38:$BD$43,6)</f>
        <v>#N/A</v>
      </c>
      <c r="X137" s="327" t="e">
        <f>HLOOKUP(X$2,'Digital goods marketplace'!$B$38:$BD$43,6)</f>
        <v>#N/A</v>
      </c>
      <c r="Y137" s="327" t="e">
        <f>HLOOKUP(Y$2,'Digital goods marketplace'!$B$38:$BD$43,6)</f>
        <v>#N/A</v>
      </c>
      <c r="Z137" s="327" t="e">
        <f>HLOOKUP(Z$2,'Digital goods marketplace'!$B$38:$BD$43,6)</f>
        <v>#N/A</v>
      </c>
      <c r="AA137" s="327" t="e">
        <f>HLOOKUP(AA$2,'Digital goods marketplace'!$B$38:$BD$43,6)</f>
        <v>#N/A</v>
      </c>
      <c r="AB137" s="327" t="e">
        <f>HLOOKUP(AB$2,'Digital goods marketplace'!$B$38:$BD$43,6)</f>
        <v>#N/A</v>
      </c>
      <c r="AC137" s="429" t="e">
        <f>HLOOKUP(AC$2,'Digital goods marketplace'!$B$38:$BD$43,6)</f>
        <v>#N/A</v>
      </c>
      <c r="AD137" s="327">
        <f>HLOOKUP(AD$2,'Digital goods marketplace'!$B$38:$BD$43,6)</f>
        <v>0</v>
      </c>
      <c r="AE137" s="327">
        <f>HLOOKUP(AE$2,'Digital goods marketplace'!$B$38:$BD$43,6)</f>
        <v>0</v>
      </c>
      <c r="AF137" s="327">
        <f>HLOOKUP(AF$2,'Digital goods marketplace'!$B$38:$BD$43,6)</f>
        <v>0</v>
      </c>
      <c r="AG137" s="327">
        <f>HLOOKUP(AG$2,'Digital goods marketplace'!$B$38:$BD$43,6)</f>
        <v>0</v>
      </c>
      <c r="AH137" s="327">
        <f>HLOOKUP(AH$2,'Digital goods marketplace'!$B$38:$BD$43,6)</f>
        <v>0</v>
      </c>
      <c r="AI137" s="327">
        <f>HLOOKUP(AI$2,'Digital goods marketplace'!$B$38:$BD$43,6)</f>
        <v>3252.6043111879517</v>
      </c>
      <c r="AJ137" s="327">
        <f>HLOOKUP(AJ$2,'Digital goods marketplace'!$B$38:$BD$43,6)</f>
        <v>3317.6563974117107</v>
      </c>
      <c r="AK137" s="327">
        <f>HLOOKUP(AK$2,'Digital goods marketplace'!$B$38:$BD$43,6)</f>
        <v>3384.0095253599447</v>
      </c>
      <c r="AL137" s="327">
        <f>HLOOKUP(AL$2,'Digital goods marketplace'!$B$38:$BD$43,6)</f>
        <v>3451.6897158671436</v>
      </c>
      <c r="AM137" s="327">
        <f>HLOOKUP(AM$2,'Digital goods marketplace'!$B$38:$BD$43,6)</f>
        <v>3520.7235101844863</v>
      </c>
      <c r="AN137" s="334">
        <f>HLOOKUP(AN$2,'Digital goods marketplace'!$B$38:$BD$43,6)</f>
        <v>3591.1379803881759</v>
      </c>
      <c r="AO137" s="327">
        <f>HLOOKUP(AO$2,'Digital goods marketplace'!$B$38:$BD$43,6)</f>
        <v>3662.9607399959395</v>
      </c>
      <c r="AP137" s="327">
        <f>HLOOKUP(AP$2,'Digital goods marketplace'!$B$38:$BD$43,6)</f>
        <v>3736.2199547958585</v>
      </c>
      <c r="AQ137" s="327">
        <f>HLOOKUP(AQ$2,'Digital goods marketplace'!$B$38:$BD$43,6)</f>
        <v>3810.9443538917758</v>
      </c>
      <c r="AR137" s="327">
        <f>HLOOKUP(AR$2,'Digital goods marketplace'!$B$38:$BD$43,6)</f>
        <v>3887.1632409696113</v>
      </c>
      <c r="AS137" s="327">
        <f>HLOOKUP(AS$2,'Digital goods marketplace'!$B$38:$BD$43,6)</f>
        <v>3964.9065057890034</v>
      </c>
      <c r="AT137" s="327">
        <f>HLOOKUP(AT$2,'Digital goods marketplace'!$B$38:$BD$43,6)</f>
        <v>4044.2046359047836</v>
      </c>
      <c r="AU137" s="327">
        <f>HLOOKUP(AU$2,'Digital goods marketplace'!$B$38:$BD$43,6)</f>
        <v>4125.088728622879</v>
      </c>
      <c r="AV137" s="327">
        <f>HLOOKUP(AV$2,'Digital goods marketplace'!$B$38:$BD$43,6)</f>
        <v>4207.5905031953362</v>
      </c>
      <c r="AW137" s="327">
        <f>HLOOKUP(AW$2,'Digital goods marketplace'!$B$38:$BD$43,6)</f>
        <v>4291.742313259243</v>
      </c>
      <c r="AX137" s="327">
        <f>HLOOKUP(AX$2,'Digital goods marketplace'!$B$38:$BD$43,6)</f>
        <v>4377.5771595244278</v>
      </c>
      <c r="AY137" s="327">
        <f>HLOOKUP(AY$2,'Digital goods marketplace'!$B$38:$BD$43,6)</f>
        <v>4465.1287027149165</v>
      </c>
      <c r="AZ137" s="327">
        <f>HLOOKUP(AZ$2,'Digital goods marketplace'!$B$38:$BD$43,6)</f>
        <v>4554.4312767692145</v>
      </c>
      <c r="BA137" s="429">
        <f>HLOOKUP(BA$2,'Digital goods marketplace'!$B$38:$BD$43,6)</f>
        <v>4645.5199023045989</v>
      </c>
      <c r="BB137" s="327">
        <f>HLOOKUP(BB$2,'Digital goods marketplace'!$B$38:$BD$43,6)</f>
        <v>4738.4303003506911</v>
      </c>
      <c r="BC137" s="327">
        <f>HLOOKUP(BC$2,'Digital goods marketplace'!$B$38:$BD$43,6)</f>
        <v>4833.1989063577048</v>
      </c>
      <c r="BD137" s="327">
        <f>HLOOKUP(BD$2,'Digital goods marketplace'!$B$38:$BD$43,6)</f>
        <v>4929.862884484859</v>
      </c>
      <c r="BE137" s="327">
        <f>HLOOKUP(BE$2,'Digital goods marketplace'!$B$38:$BD$43,6)</f>
        <v>5028.4601421745565</v>
      </c>
      <c r="BF137" s="327">
        <f>HLOOKUP(BF$2,'Digital goods marketplace'!$B$38:$BD$43,6)</f>
        <v>5129.0293450180479</v>
      </c>
      <c r="BG137" s="327">
        <f>HLOOKUP(BG$2,'Digital goods marketplace'!$B$38:$BD$43,6)</f>
        <v>5231.6099319184086</v>
      </c>
      <c r="BH137" s="327">
        <f>HLOOKUP(BH$2,'Digital goods marketplace'!$B$38:$BD$43,6)</f>
        <v>5336.2421305567768</v>
      </c>
      <c r="BI137" s="327">
        <f>HLOOKUP(BI$2,'Digital goods marketplace'!$B$38:$BD$43,6)</f>
        <v>5442.9669731679123</v>
      </c>
      <c r="BJ137" s="327">
        <f>HLOOKUP(BJ$2,'Digital goods marketplace'!$B$38:$BD$43,6)</f>
        <v>5551.8263126312704</v>
      </c>
      <c r="BK137" s="327">
        <f>HLOOKUP(BK$2,'Digital goods marketplace'!$B$38:$BD$43,6)</f>
        <v>5662.8628388838961</v>
      </c>
      <c r="BL137" s="334">
        <f>HLOOKUP(BL$2,'Digital goods marketplace'!$B$38:$BD$43,6)</f>
        <v>5776.1200956615739</v>
      </c>
    </row>
    <row r="138" spans="1:64" ht="17" x14ac:dyDescent="0.25">
      <c r="A138" s="609"/>
      <c r="B138" s="607"/>
      <c r="C138" s="343" t="s">
        <v>498</v>
      </c>
      <c r="D138" s="402" t="s">
        <v>523</v>
      </c>
      <c r="E138" s="39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6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95"/>
      <c r="AD138" s="355"/>
      <c r="AE138" s="355"/>
      <c r="AF138" s="355"/>
      <c r="AG138" s="355"/>
      <c r="AH138" s="355"/>
      <c r="AI138" s="355"/>
      <c r="AJ138" s="355"/>
      <c r="AK138" s="355"/>
      <c r="AL138" s="355"/>
      <c r="AM138" s="355"/>
      <c r="AN138" s="356"/>
      <c r="AO138" s="355"/>
      <c r="AP138" s="355"/>
      <c r="AQ138" s="355"/>
      <c r="AR138" s="355"/>
      <c r="AS138" s="355"/>
      <c r="AT138" s="355"/>
      <c r="AU138" s="355"/>
      <c r="AV138" s="355"/>
      <c r="AW138" s="355"/>
      <c r="AX138" s="355"/>
      <c r="AY138" s="355"/>
      <c r="AZ138" s="355"/>
      <c r="BA138" s="395"/>
      <c r="BB138" s="355"/>
      <c r="BC138" s="355"/>
      <c r="BD138" s="355"/>
      <c r="BE138" s="355"/>
      <c r="BF138" s="355"/>
      <c r="BG138" s="355"/>
      <c r="BH138" s="355"/>
      <c r="BI138" s="355"/>
      <c r="BJ138" s="355"/>
      <c r="BK138" s="355"/>
      <c r="BL138" s="356"/>
    </row>
    <row r="139" spans="1:64" x14ac:dyDescent="0.25">
      <c r="A139" s="609"/>
      <c r="B139" s="607"/>
      <c r="C139" s="325" t="s">
        <v>507</v>
      </c>
      <c r="D139" s="402" t="s">
        <v>499</v>
      </c>
      <c r="E139" s="385">
        <f t="shared" ref="E139:AJ139" si="905">(E138-E136)/E136</f>
        <v>-1</v>
      </c>
      <c r="F139" s="326" t="e">
        <f t="shared" si="905"/>
        <v>#DIV/0!</v>
      </c>
      <c r="G139" s="326" t="e">
        <f t="shared" si="905"/>
        <v>#DIV/0!</v>
      </c>
      <c r="H139" s="326" t="e">
        <f t="shared" si="905"/>
        <v>#DIV/0!</v>
      </c>
      <c r="I139" s="326" t="e">
        <f t="shared" si="905"/>
        <v>#DIV/0!</v>
      </c>
      <c r="J139" s="326" t="e">
        <f t="shared" si="905"/>
        <v>#DIV/0!</v>
      </c>
      <c r="K139" s="326" t="e">
        <f t="shared" si="905"/>
        <v>#DIV/0!</v>
      </c>
      <c r="L139" s="326" t="e">
        <f t="shared" si="905"/>
        <v>#DIV/0!</v>
      </c>
      <c r="M139" s="326" t="e">
        <f t="shared" si="905"/>
        <v>#DIV/0!</v>
      </c>
      <c r="N139" s="326" t="e">
        <f t="shared" si="905"/>
        <v>#DIV/0!</v>
      </c>
      <c r="O139" s="326" t="e">
        <f t="shared" si="905"/>
        <v>#DIV/0!</v>
      </c>
      <c r="P139" s="333" t="e">
        <f t="shared" si="905"/>
        <v>#DIV/0!</v>
      </c>
      <c r="Q139" s="326" t="e">
        <f t="shared" si="905"/>
        <v>#DIV/0!</v>
      </c>
      <c r="R139" s="326" t="e">
        <f t="shared" si="905"/>
        <v>#DIV/0!</v>
      </c>
      <c r="S139" s="326" t="e">
        <f t="shared" si="905"/>
        <v>#DIV/0!</v>
      </c>
      <c r="T139" s="326" t="e">
        <f t="shared" si="905"/>
        <v>#DIV/0!</v>
      </c>
      <c r="U139" s="326" t="e">
        <f t="shared" si="905"/>
        <v>#DIV/0!</v>
      </c>
      <c r="V139" s="326" t="e">
        <f t="shared" si="905"/>
        <v>#DIV/0!</v>
      </c>
      <c r="W139" s="326" t="e">
        <f t="shared" si="905"/>
        <v>#DIV/0!</v>
      </c>
      <c r="X139" s="326" t="e">
        <f t="shared" si="905"/>
        <v>#DIV/0!</v>
      </c>
      <c r="Y139" s="326" t="e">
        <f t="shared" si="905"/>
        <v>#DIV/0!</v>
      </c>
      <c r="Z139" s="326" t="e">
        <f t="shared" si="905"/>
        <v>#DIV/0!</v>
      </c>
      <c r="AA139" s="326" t="e">
        <f t="shared" si="905"/>
        <v>#DIV/0!</v>
      </c>
      <c r="AB139" s="326" t="e">
        <f t="shared" si="905"/>
        <v>#DIV/0!</v>
      </c>
      <c r="AC139" s="385" t="e">
        <f t="shared" si="905"/>
        <v>#DIV/0!</v>
      </c>
      <c r="AD139" s="326" t="e">
        <f t="shared" si="905"/>
        <v>#DIV/0!</v>
      </c>
      <c r="AE139" s="326" t="e">
        <f t="shared" si="905"/>
        <v>#DIV/0!</v>
      </c>
      <c r="AF139" s="326" t="e">
        <f t="shared" si="905"/>
        <v>#DIV/0!</v>
      </c>
      <c r="AG139" s="326" t="e">
        <f t="shared" si="905"/>
        <v>#DIV/0!</v>
      </c>
      <c r="AH139" s="326" t="e">
        <f t="shared" si="905"/>
        <v>#DIV/0!</v>
      </c>
      <c r="AI139" s="326" t="e">
        <f t="shared" si="905"/>
        <v>#DIV/0!</v>
      </c>
      <c r="AJ139" s="326" t="e">
        <f t="shared" si="905"/>
        <v>#DIV/0!</v>
      </c>
      <c r="AK139" s="326" t="e">
        <f t="shared" ref="AK139:BL139" si="906">(AK138-AK136)/AK136</f>
        <v>#DIV/0!</v>
      </c>
      <c r="AL139" s="326" t="e">
        <f t="shared" si="906"/>
        <v>#DIV/0!</v>
      </c>
      <c r="AM139" s="326" t="e">
        <f t="shared" si="906"/>
        <v>#DIV/0!</v>
      </c>
      <c r="AN139" s="333" t="e">
        <f t="shared" si="906"/>
        <v>#DIV/0!</v>
      </c>
      <c r="AO139" s="326" t="e">
        <f t="shared" si="906"/>
        <v>#DIV/0!</v>
      </c>
      <c r="AP139" s="326" t="e">
        <f t="shared" si="906"/>
        <v>#DIV/0!</v>
      </c>
      <c r="AQ139" s="326" t="e">
        <f t="shared" si="906"/>
        <v>#DIV/0!</v>
      </c>
      <c r="AR139" s="326" t="e">
        <f t="shared" si="906"/>
        <v>#DIV/0!</v>
      </c>
      <c r="AS139" s="326" t="e">
        <f t="shared" si="906"/>
        <v>#DIV/0!</v>
      </c>
      <c r="AT139" s="326" t="e">
        <f t="shared" si="906"/>
        <v>#DIV/0!</v>
      </c>
      <c r="AU139" s="326" t="e">
        <f t="shared" si="906"/>
        <v>#DIV/0!</v>
      </c>
      <c r="AV139" s="326" t="e">
        <f t="shared" si="906"/>
        <v>#DIV/0!</v>
      </c>
      <c r="AW139" s="326" t="e">
        <f t="shared" si="906"/>
        <v>#DIV/0!</v>
      </c>
      <c r="AX139" s="326" t="e">
        <f t="shared" si="906"/>
        <v>#DIV/0!</v>
      </c>
      <c r="AY139" s="326" t="e">
        <f t="shared" si="906"/>
        <v>#DIV/0!</v>
      </c>
      <c r="AZ139" s="326" t="e">
        <f t="shared" si="906"/>
        <v>#DIV/0!</v>
      </c>
      <c r="BA139" s="385" t="e">
        <f t="shared" si="906"/>
        <v>#DIV/0!</v>
      </c>
      <c r="BB139" s="326" t="e">
        <f t="shared" si="906"/>
        <v>#DIV/0!</v>
      </c>
      <c r="BC139" s="326" t="e">
        <f t="shared" si="906"/>
        <v>#DIV/0!</v>
      </c>
      <c r="BD139" s="326" t="e">
        <f t="shared" si="906"/>
        <v>#DIV/0!</v>
      </c>
      <c r="BE139" s="326" t="e">
        <f t="shared" si="906"/>
        <v>#DIV/0!</v>
      </c>
      <c r="BF139" s="326" t="e">
        <f t="shared" si="906"/>
        <v>#DIV/0!</v>
      </c>
      <c r="BG139" s="326" t="e">
        <f t="shared" si="906"/>
        <v>#DIV/0!</v>
      </c>
      <c r="BH139" s="326" t="e">
        <f t="shared" si="906"/>
        <v>#DIV/0!</v>
      </c>
      <c r="BI139" s="326" t="e">
        <f t="shared" si="906"/>
        <v>#DIV/0!</v>
      </c>
      <c r="BJ139" s="326" t="e">
        <f t="shared" si="906"/>
        <v>#DIV/0!</v>
      </c>
      <c r="BK139" s="326" t="e">
        <f t="shared" si="906"/>
        <v>#DIV/0!</v>
      </c>
      <c r="BL139" s="333" t="e">
        <f t="shared" si="906"/>
        <v>#DIV/0!</v>
      </c>
    </row>
    <row r="140" spans="1:64" ht="16" customHeight="1" x14ac:dyDescent="0.25">
      <c r="A140" s="609"/>
      <c r="B140" s="607"/>
      <c r="C140" s="372" t="s">
        <v>497</v>
      </c>
      <c r="D140" s="401" t="s">
        <v>514</v>
      </c>
      <c r="E140" s="396" t="e">
        <f>HLOOKUP(E$2,'Digital goods marketplace'!$B$51:$BD$52,2)</f>
        <v>#N/A</v>
      </c>
      <c r="F140" s="374" t="e">
        <f>HLOOKUP(F$2,'Digital goods marketplace'!$B$51:$BD$52,2)</f>
        <v>#N/A</v>
      </c>
      <c r="G140" s="374" t="e">
        <f>HLOOKUP(G$2,'Digital goods marketplace'!$B$51:$BD$52,2)</f>
        <v>#N/A</v>
      </c>
      <c r="H140" s="374" t="e">
        <f>HLOOKUP(H$2,'Digital goods marketplace'!$B$51:$BD$52,2)</f>
        <v>#N/A</v>
      </c>
      <c r="I140" s="374" t="e">
        <f>HLOOKUP(I$2,'Digital goods marketplace'!$B$51:$BD$52,2)</f>
        <v>#N/A</v>
      </c>
      <c r="J140" s="374" t="e">
        <f>HLOOKUP(J$2,'Digital goods marketplace'!$B$51:$BD$52,2)</f>
        <v>#N/A</v>
      </c>
      <c r="K140" s="374" t="e">
        <f>HLOOKUP(K$2,'Digital goods marketplace'!$B$51:$BD$52,2)</f>
        <v>#N/A</v>
      </c>
      <c r="L140" s="374" t="e">
        <f>HLOOKUP(L$2,'Digital goods marketplace'!$B$51:$BD$52,2)</f>
        <v>#N/A</v>
      </c>
      <c r="M140" s="374" t="e">
        <f>HLOOKUP(M$2,'Digital goods marketplace'!$B$51:$BD$52,2)</f>
        <v>#N/A</v>
      </c>
      <c r="N140" s="374" t="e">
        <f>HLOOKUP(N$2,'Digital goods marketplace'!$B$51:$BD$52,2)</f>
        <v>#N/A</v>
      </c>
      <c r="O140" s="374" t="e">
        <f>HLOOKUP(O$2,'Digital goods marketplace'!$B$51:$BD$52,2)</f>
        <v>#N/A</v>
      </c>
      <c r="P140" s="397" t="e">
        <f>HLOOKUP(P$2,'Digital goods marketplace'!$B$51:$BD$52,2)</f>
        <v>#N/A</v>
      </c>
      <c r="Q140" s="374" t="e">
        <f>HLOOKUP(Q$2,'Digital goods marketplace'!$B$51:$BD$52,2)</f>
        <v>#N/A</v>
      </c>
      <c r="R140" s="374" t="e">
        <f>HLOOKUP(R$2,'Digital goods marketplace'!$B$51:$BD$52,2)</f>
        <v>#N/A</v>
      </c>
      <c r="S140" s="374" t="e">
        <f>HLOOKUP(S$2,'Digital goods marketplace'!$B$51:$BD$52,2)</f>
        <v>#N/A</v>
      </c>
      <c r="T140" s="374" t="e">
        <f>HLOOKUP(T$2,'Digital goods marketplace'!$B$51:$BD$52,2)</f>
        <v>#N/A</v>
      </c>
      <c r="U140" s="374" t="e">
        <f>HLOOKUP(U$2,'Digital goods marketplace'!$B$51:$BD$52,2)</f>
        <v>#N/A</v>
      </c>
      <c r="V140" s="374" t="e">
        <f>HLOOKUP(V$2,'Digital goods marketplace'!$B$51:$BD$52,2)</f>
        <v>#N/A</v>
      </c>
      <c r="W140" s="374" t="e">
        <f>HLOOKUP(W$2,'Digital goods marketplace'!$B$51:$BD$52,2)</f>
        <v>#N/A</v>
      </c>
      <c r="X140" s="374" t="e">
        <f>HLOOKUP(X$2,'Digital goods marketplace'!$B$51:$BD$52,2)</f>
        <v>#N/A</v>
      </c>
      <c r="Y140" s="374" t="e">
        <f>HLOOKUP(Y$2,'Digital goods marketplace'!$B$51:$BD$52,2)</f>
        <v>#N/A</v>
      </c>
      <c r="Z140" s="374" t="e">
        <f>HLOOKUP(Z$2,'Digital goods marketplace'!$B$51:$BD$52,2)</f>
        <v>#N/A</v>
      </c>
      <c r="AA140" s="374" t="e">
        <f>HLOOKUP(AA$2,'Digital goods marketplace'!$B$51:$BD$52,2)</f>
        <v>#N/A</v>
      </c>
      <c r="AB140" s="374" t="e">
        <f>HLOOKUP(AB$2,'Digital goods marketplace'!$B$51:$BD$52,2)</f>
        <v>#N/A</v>
      </c>
      <c r="AC140" s="396" t="e">
        <f>HLOOKUP(AC$2,'Digital goods marketplace'!$B$51:$BD$52,2)</f>
        <v>#N/A</v>
      </c>
      <c r="AD140" s="374">
        <f>HLOOKUP(AD$2,'Digital goods marketplace'!$B$51:$BD$52,2)</f>
        <v>0</v>
      </c>
      <c r="AE140" s="374">
        <f>HLOOKUP(AE$2,'Digital goods marketplace'!$B$51:$BD$52,2)</f>
        <v>0</v>
      </c>
      <c r="AF140" s="374">
        <f>HLOOKUP(AF$2,'Digital goods marketplace'!$B$51:$BD$52,2)</f>
        <v>0</v>
      </c>
      <c r="AG140" s="374">
        <f>HLOOKUP(AG$2,'Digital goods marketplace'!$B$51:$BD$52,2)</f>
        <v>0</v>
      </c>
      <c r="AH140" s="374">
        <f>HLOOKUP(AH$2,'Digital goods marketplace'!$B$51:$BD$52,2)</f>
        <v>0</v>
      </c>
      <c r="AI140" s="374">
        <f>HLOOKUP(AI$2,'Digital goods marketplace'!$B$51:$BD$52,2)</f>
        <v>185589.77540307722</v>
      </c>
      <c r="AJ140" s="374">
        <f>HLOOKUP(AJ$2,'Digital goods marketplace'!$B$51:$BD$52,2)</f>
        <v>189301.57091113881</v>
      </c>
      <c r="AK140" s="374">
        <f>HLOOKUP(AK$2,'Digital goods marketplace'!$B$51:$BD$52,2)</f>
        <v>193087.6023293616</v>
      </c>
      <c r="AL140" s="374">
        <f>HLOOKUP(AL$2,'Digital goods marketplace'!$B$51:$BD$52,2)</f>
        <v>196949.35437594881</v>
      </c>
      <c r="AM140" s="374">
        <f>HLOOKUP(AM$2,'Digital goods marketplace'!$B$51:$BD$52,2)</f>
        <v>200888.34146346775</v>
      </c>
      <c r="AN140" s="397">
        <f>HLOOKUP(AN$2,'Digital goods marketplace'!$B$51:$BD$52,2)</f>
        <v>204906.10829273707</v>
      </c>
      <c r="AO140" s="374">
        <f>HLOOKUP(AO$2,'Digital goods marketplace'!$B$51:$BD$52,2)</f>
        <v>209004.23045859183</v>
      </c>
      <c r="AP140" s="374">
        <f>HLOOKUP(AP$2,'Digital goods marketplace'!$B$51:$BD$52,2)</f>
        <v>213184.3150677637</v>
      </c>
      <c r="AQ140" s="374">
        <f>HLOOKUP(AQ$2,'Digital goods marketplace'!$B$51:$BD$52,2)</f>
        <v>217448.00136911898</v>
      </c>
      <c r="AR140" s="374">
        <f>HLOOKUP(AR$2,'Digital goods marketplace'!$B$51:$BD$52,2)</f>
        <v>221796.96139650137</v>
      </c>
      <c r="AS140" s="374">
        <f>HLOOKUP(AS$2,'Digital goods marketplace'!$B$51:$BD$52,2)</f>
        <v>226232.90062443138</v>
      </c>
      <c r="AT140" s="374">
        <f>HLOOKUP(AT$2,'Digital goods marketplace'!$B$51:$BD$52,2)</f>
        <v>230757.55863692</v>
      </c>
      <c r="AU140" s="374">
        <f>HLOOKUP(AU$2,'Digital goods marketplace'!$B$51:$BD$52,2)</f>
        <v>235372.70980965841</v>
      </c>
      <c r="AV140" s="374">
        <f>HLOOKUP(AV$2,'Digital goods marketplace'!$B$51:$BD$52,2)</f>
        <v>240080.16400585158</v>
      </c>
      <c r="AW140" s="374">
        <f>HLOOKUP(AW$2,'Digital goods marketplace'!$B$51:$BD$52,2)</f>
        <v>244881.76728596858</v>
      </c>
      <c r="AX140" s="374">
        <f>HLOOKUP(AX$2,'Digital goods marketplace'!$B$51:$BD$52,2)</f>
        <v>249779.40263168796</v>
      </c>
      <c r="AY140" s="374">
        <f>HLOOKUP(AY$2,'Digital goods marketplace'!$B$51:$BD$52,2)</f>
        <v>254774.9906843217</v>
      </c>
      <c r="AZ140" s="374">
        <f>HLOOKUP(AZ$2,'Digital goods marketplace'!$B$51:$BD$52,2)</f>
        <v>259870.49049800815</v>
      </c>
      <c r="BA140" s="396">
        <f>HLOOKUP(BA$2,'Digital goods marketplace'!$B$51:$BD$52,2)</f>
        <v>265067.90030796826</v>
      </c>
      <c r="BB140" s="374">
        <f>HLOOKUP(BB$2,'Digital goods marketplace'!$B$51:$BD$52,2)</f>
        <v>270369.25831412768</v>
      </c>
      <c r="BC140" s="374">
        <f>HLOOKUP(BC$2,'Digital goods marketplace'!$B$51:$BD$52,2)</f>
        <v>275776.64348041022</v>
      </c>
      <c r="BD140" s="374">
        <f>HLOOKUP(BD$2,'Digital goods marketplace'!$B$51:$BD$52,2)</f>
        <v>281292.17635001848</v>
      </c>
      <c r="BE140" s="374">
        <f>HLOOKUP(BE$2,'Digital goods marketplace'!$B$51:$BD$52,2)</f>
        <v>286918.01987701881</v>
      </c>
      <c r="BF140" s="374">
        <f>HLOOKUP(BF$2,'Digital goods marketplace'!$B$51:$BD$52,2)</f>
        <v>292656.3802745592</v>
      </c>
      <c r="BG140" s="374">
        <f>HLOOKUP(BG$2,'Digital goods marketplace'!$B$51:$BD$52,2)</f>
        <v>298509.5078800504</v>
      </c>
      <c r="BH140" s="374">
        <f>HLOOKUP(BH$2,'Digital goods marketplace'!$B$51:$BD$52,2)</f>
        <v>304479.69803765143</v>
      </c>
      <c r="BI140" s="374">
        <f>HLOOKUP(BI$2,'Digital goods marketplace'!$B$51:$BD$52,2)</f>
        <v>310569.29199840443</v>
      </c>
      <c r="BJ140" s="374">
        <f>HLOOKUP(BJ$2,'Digital goods marketplace'!$B$51:$BD$52,2)</f>
        <v>316780.67783837253</v>
      </c>
      <c r="BK140" s="374">
        <f>HLOOKUP(BK$2,'Digital goods marketplace'!$B$51:$BD$52,2)</f>
        <v>323116.29139513994</v>
      </c>
      <c r="BL140" s="397">
        <f>HLOOKUP(BL$2,'Digital goods marketplace'!$B$51:$BD$52,2)</f>
        <v>329578.61722304276</v>
      </c>
    </row>
    <row r="141" spans="1:64" ht="17" x14ac:dyDescent="0.25">
      <c r="A141" s="609"/>
      <c r="B141" s="607"/>
      <c r="C141" s="373" t="s">
        <v>498</v>
      </c>
      <c r="D141" s="402" t="s">
        <v>514</v>
      </c>
      <c r="E141" s="388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  <c r="AA141" s="344"/>
      <c r="AB141" s="344"/>
      <c r="AC141" s="388"/>
      <c r="AD141" s="344"/>
      <c r="AE141" s="344"/>
      <c r="AF141" s="344"/>
      <c r="AG141" s="344"/>
      <c r="AH141" s="344"/>
      <c r="AI141" s="344"/>
      <c r="AJ141" s="344"/>
      <c r="AK141" s="344"/>
      <c r="AL141" s="344"/>
      <c r="AM141" s="344"/>
      <c r="AN141" s="345"/>
      <c r="AO141" s="344"/>
      <c r="AP141" s="344"/>
      <c r="AQ141" s="344"/>
      <c r="AR141" s="344"/>
      <c r="AS141" s="344"/>
      <c r="AT141" s="344"/>
      <c r="AU141" s="344"/>
      <c r="AV141" s="344"/>
      <c r="AW141" s="344"/>
      <c r="AX141" s="344"/>
      <c r="AY141" s="344"/>
      <c r="AZ141" s="344"/>
      <c r="BA141" s="388"/>
      <c r="BB141" s="344"/>
      <c r="BC141" s="344"/>
      <c r="BD141" s="344"/>
      <c r="BE141" s="344"/>
      <c r="BF141" s="344"/>
      <c r="BG141" s="344"/>
      <c r="BH141" s="344"/>
      <c r="BI141" s="344"/>
      <c r="BJ141" s="344"/>
      <c r="BK141" s="344"/>
      <c r="BL141" s="345"/>
    </row>
    <row r="142" spans="1:64" x14ac:dyDescent="0.25">
      <c r="A142" s="609"/>
      <c r="B142" s="607"/>
      <c r="C142" s="370" t="s">
        <v>507</v>
      </c>
      <c r="D142" s="403" t="s">
        <v>499</v>
      </c>
      <c r="E142" s="382" t="e">
        <f>(E141-E140)/E140</f>
        <v>#N/A</v>
      </c>
      <c r="F142" s="371" t="e">
        <f t="shared" ref="F142" si="907">(F141-F140)/F140</f>
        <v>#N/A</v>
      </c>
      <c r="G142" s="371" t="e">
        <f t="shared" ref="G142" si="908">(G141-G140)/G140</f>
        <v>#N/A</v>
      </c>
      <c r="H142" s="371" t="e">
        <f t="shared" ref="H142" si="909">(H141-H140)/H140</f>
        <v>#N/A</v>
      </c>
      <c r="I142" s="371" t="e">
        <f t="shared" ref="I142" si="910">(I141-I140)/I140</f>
        <v>#N/A</v>
      </c>
      <c r="J142" s="371" t="e">
        <f t="shared" ref="J142" si="911">(J141-J140)/J140</f>
        <v>#N/A</v>
      </c>
      <c r="K142" s="371" t="e">
        <f t="shared" ref="K142" si="912">(K141-K140)/K140</f>
        <v>#N/A</v>
      </c>
      <c r="L142" s="371" t="e">
        <f t="shared" ref="L142" si="913">(L141-L140)/L140</f>
        <v>#N/A</v>
      </c>
      <c r="M142" s="371" t="e">
        <f t="shared" ref="M142" si="914">(M141-M140)/M140</f>
        <v>#N/A</v>
      </c>
      <c r="N142" s="371" t="e">
        <f t="shared" ref="N142" si="915">(N141-N140)/N140</f>
        <v>#N/A</v>
      </c>
      <c r="O142" s="371" t="e">
        <f t="shared" ref="O142" si="916">(O141-O140)/O140</f>
        <v>#N/A</v>
      </c>
      <c r="P142" s="383" t="e">
        <f t="shared" ref="P142" si="917">(P141-P140)/P140</f>
        <v>#N/A</v>
      </c>
      <c r="Q142" s="371" t="e">
        <f t="shared" ref="Q142" si="918">(Q141-Q140)/Q140</f>
        <v>#N/A</v>
      </c>
      <c r="R142" s="371" t="e">
        <f t="shared" ref="R142" si="919">(R141-R140)/R140</f>
        <v>#N/A</v>
      </c>
      <c r="S142" s="371" t="e">
        <f t="shared" ref="S142" si="920">(S141-S140)/S140</f>
        <v>#N/A</v>
      </c>
      <c r="T142" s="371" t="e">
        <f t="shared" ref="T142" si="921">(T141-T140)/T140</f>
        <v>#N/A</v>
      </c>
      <c r="U142" s="371" t="e">
        <f t="shared" ref="U142" si="922">(U141-U140)/U140</f>
        <v>#N/A</v>
      </c>
      <c r="V142" s="371" t="e">
        <f t="shared" ref="V142" si="923">(V141-V140)/V140</f>
        <v>#N/A</v>
      </c>
      <c r="W142" s="371" t="e">
        <f t="shared" ref="W142" si="924">(W141-W140)/W140</f>
        <v>#N/A</v>
      </c>
      <c r="X142" s="371" t="e">
        <f t="shared" ref="X142" si="925">(X141-X140)/X140</f>
        <v>#N/A</v>
      </c>
      <c r="Y142" s="371" t="e">
        <f t="shared" ref="Y142" si="926">(Y141-Y140)/Y140</f>
        <v>#N/A</v>
      </c>
      <c r="Z142" s="371" t="e">
        <f t="shared" ref="Z142" si="927">(Z141-Z140)/Z140</f>
        <v>#N/A</v>
      </c>
      <c r="AA142" s="371" t="e">
        <f t="shared" ref="AA142" si="928">(AA141-AA140)/AA140</f>
        <v>#N/A</v>
      </c>
      <c r="AB142" s="371" t="e">
        <f t="shared" ref="AB142" si="929">(AB141-AB140)/AB140</f>
        <v>#N/A</v>
      </c>
      <c r="AC142" s="382" t="e">
        <f t="shared" ref="AC142" si="930">(AC141-AC140)/AC140</f>
        <v>#N/A</v>
      </c>
      <c r="AD142" s="371" t="e">
        <f t="shared" ref="AD142" si="931">(AD141-AD140)/AD140</f>
        <v>#DIV/0!</v>
      </c>
      <c r="AE142" s="371" t="e">
        <f t="shared" ref="AE142" si="932">(AE141-AE140)/AE140</f>
        <v>#DIV/0!</v>
      </c>
      <c r="AF142" s="371" t="e">
        <f t="shared" ref="AF142" si="933">(AF141-AF140)/AF140</f>
        <v>#DIV/0!</v>
      </c>
      <c r="AG142" s="371" t="e">
        <f t="shared" ref="AG142" si="934">(AG141-AG140)/AG140</f>
        <v>#DIV/0!</v>
      </c>
      <c r="AH142" s="371" t="e">
        <f t="shared" ref="AH142" si="935">(AH141-AH140)/AH140</f>
        <v>#DIV/0!</v>
      </c>
      <c r="AI142" s="371">
        <f t="shared" ref="AI142" si="936">(AI141-AI140)/AI140</f>
        <v>-1</v>
      </c>
      <c r="AJ142" s="371">
        <f t="shared" ref="AJ142" si="937">(AJ141-AJ140)/AJ140</f>
        <v>-1</v>
      </c>
      <c r="AK142" s="371">
        <f t="shared" ref="AK142" si="938">(AK141-AK140)/AK140</f>
        <v>-1</v>
      </c>
      <c r="AL142" s="371">
        <f t="shared" ref="AL142" si="939">(AL141-AL140)/AL140</f>
        <v>-1</v>
      </c>
      <c r="AM142" s="371">
        <f t="shared" ref="AM142" si="940">(AM141-AM140)/AM140</f>
        <v>-1</v>
      </c>
      <c r="AN142" s="383">
        <f t="shared" ref="AN142" si="941">(AN141-AN140)/AN140</f>
        <v>-1</v>
      </c>
      <c r="AO142" s="371">
        <f t="shared" ref="AO142" si="942">(AO141-AO140)/AO140</f>
        <v>-1</v>
      </c>
      <c r="AP142" s="371">
        <f t="shared" ref="AP142" si="943">(AP141-AP140)/AP140</f>
        <v>-1</v>
      </c>
      <c r="AQ142" s="371">
        <f t="shared" ref="AQ142" si="944">(AQ141-AQ140)/AQ140</f>
        <v>-1</v>
      </c>
      <c r="AR142" s="371">
        <f t="shared" ref="AR142" si="945">(AR141-AR140)/AR140</f>
        <v>-1</v>
      </c>
      <c r="AS142" s="371">
        <f t="shared" ref="AS142" si="946">(AS141-AS140)/AS140</f>
        <v>-1</v>
      </c>
      <c r="AT142" s="371">
        <f t="shared" ref="AT142" si="947">(AT141-AT140)/AT140</f>
        <v>-1</v>
      </c>
      <c r="AU142" s="371">
        <f t="shared" ref="AU142" si="948">(AU141-AU140)/AU140</f>
        <v>-1</v>
      </c>
      <c r="AV142" s="371">
        <f t="shared" ref="AV142" si="949">(AV141-AV140)/AV140</f>
        <v>-1</v>
      </c>
      <c r="AW142" s="371">
        <f t="shared" ref="AW142" si="950">(AW141-AW140)/AW140</f>
        <v>-1</v>
      </c>
      <c r="AX142" s="371">
        <f t="shared" ref="AX142" si="951">(AX141-AX140)/AX140</f>
        <v>-1</v>
      </c>
      <c r="AY142" s="371">
        <f t="shared" ref="AY142" si="952">(AY141-AY140)/AY140</f>
        <v>-1</v>
      </c>
      <c r="AZ142" s="371">
        <f t="shared" ref="AZ142" si="953">(AZ141-AZ140)/AZ140</f>
        <v>-1</v>
      </c>
      <c r="BA142" s="382">
        <f t="shared" ref="BA142" si="954">(BA141-BA140)/BA140</f>
        <v>-1</v>
      </c>
      <c r="BB142" s="371">
        <f t="shared" ref="BB142" si="955">(BB141-BB140)/BB140</f>
        <v>-1</v>
      </c>
      <c r="BC142" s="371">
        <f t="shared" ref="BC142" si="956">(BC141-BC140)/BC140</f>
        <v>-1</v>
      </c>
      <c r="BD142" s="371">
        <f t="shared" ref="BD142" si="957">(BD141-BD140)/BD140</f>
        <v>-1</v>
      </c>
      <c r="BE142" s="371">
        <f t="shared" ref="BE142" si="958">(BE141-BE140)/BE140</f>
        <v>-1</v>
      </c>
      <c r="BF142" s="371">
        <f t="shared" ref="BF142" si="959">(BF141-BF140)/BF140</f>
        <v>-1</v>
      </c>
      <c r="BG142" s="371">
        <f t="shared" ref="BG142" si="960">(BG141-BG140)/BG140</f>
        <v>-1</v>
      </c>
      <c r="BH142" s="371">
        <f t="shared" ref="BH142" si="961">(BH141-BH140)/BH140</f>
        <v>-1</v>
      </c>
      <c r="BI142" s="371">
        <f t="shared" ref="BI142" si="962">(BI141-BI140)/BI140</f>
        <v>-1</v>
      </c>
      <c r="BJ142" s="371">
        <f t="shared" ref="BJ142" si="963">(BJ141-BJ140)/BJ140</f>
        <v>-1</v>
      </c>
      <c r="BK142" s="371">
        <f t="shared" ref="BK142" si="964">(BK141-BK140)/BK140</f>
        <v>-1</v>
      </c>
      <c r="BL142" s="383">
        <f t="shared" ref="BL142" si="965">(BL141-BL140)/BL140</f>
        <v>-1</v>
      </c>
    </row>
    <row r="143" spans="1:64" ht="16" customHeight="1" x14ac:dyDescent="0.25">
      <c r="A143" s="609"/>
      <c r="B143" s="607"/>
      <c r="C143" s="343" t="s">
        <v>497</v>
      </c>
      <c r="D143" s="402" t="s">
        <v>55</v>
      </c>
      <c r="E143" s="398" t="e">
        <f>HLOOKUP(E$2,'Digital goods marketplace'!$B$55:$BD$61,7)</f>
        <v>#N/A</v>
      </c>
      <c r="F143" s="357" t="e">
        <f>HLOOKUP(F$2,'Digital goods marketplace'!$B$55:$BD$61,7)</f>
        <v>#N/A</v>
      </c>
      <c r="G143" s="357" t="e">
        <f>HLOOKUP(G$2,'Digital goods marketplace'!$B$55:$BD$61,7)</f>
        <v>#N/A</v>
      </c>
      <c r="H143" s="357" t="e">
        <f>HLOOKUP(H$2,'Digital goods marketplace'!$B$55:$BD$61,7)</f>
        <v>#N/A</v>
      </c>
      <c r="I143" s="357" t="e">
        <f>HLOOKUP(I$2,'Digital goods marketplace'!$B$55:$BD$61,7)</f>
        <v>#N/A</v>
      </c>
      <c r="J143" s="357" t="e">
        <f>HLOOKUP(J$2,'Digital goods marketplace'!$B$55:$BD$61,7)</f>
        <v>#N/A</v>
      </c>
      <c r="K143" s="357" t="e">
        <f>HLOOKUP(K$2,'Digital goods marketplace'!$B$55:$BD$61,7)</f>
        <v>#N/A</v>
      </c>
      <c r="L143" s="357" t="e">
        <f>HLOOKUP(L$2,'Digital goods marketplace'!$B$55:$BD$61,7)</f>
        <v>#N/A</v>
      </c>
      <c r="M143" s="357" t="e">
        <f>HLOOKUP(M$2,'Digital goods marketplace'!$B$55:$BD$61,7)</f>
        <v>#N/A</v>
      </c>
      <c r="N143" s="357" t="e">
        <f>HLOOKUP(N$2,'Digital goods marketplace'!$B$55:$BD$61,7)</f>
        <v>#N/A</v>
      </c>
      <c r="O143" s="357" t="e">
        <f>HLOOKUP(O$2,'Digital goods marketplace'!$B$55:$BD$61,7)</f>
        <v>#N/A</v>
      </c>
      <c r="P143" s="358" t="e">
        <f>HLOOKUP(P$2,'Digital goods marketplace'!$B$55:$BD$61,7)</f>
        <v>#N/A</v>
      </c>
      <c r="Q143" s="357" t="e">
        <f>HLOOKUP(Q$2,'Digital goods marketplace'!$B$55:$BD$61,7)</f>
        <v>#N/A</v>
      </c>
      <c r="R143" s="357" t="e">
        <f>HLOOKUP(R$2,'Digital goods marketplace'!$B$55:$BD$61,7)</f>
        <v>#N/A</v>
      </c>
      <c r="S143" s="357" t="e">
        <f>HLOOKUP(S$2,'Digital goods marketplace'!$B$55:$BD$61,7)</f>
        <v>#N/A</v>
      </c>
      <c r="T143" s="357" t="e">
        <f>HLOOKUP(T$2,'Digital goods marketplace'!$B$55:$BD$61,7)</f>
        <v>#N/A</v>
      </c>
      <c r="U143" s="357" t="e">
        <f>HLOOKUP(U$2,'Digital goods marketplace'!$B$55:$BD$61,7)</f>
        <v>#N/A</v>
      </c>
      <c r="V143" s="357" t="e">
        <f>HLOOKUP(V$2,'Digital goods marketplace'!$B$55:$BD$61,7)</f>
        <v>#N/A</v>
      </c>
      <c r="W143" s="357" t="e">
        <f>HLOOKUP(W$2,'Digital goods marketplace'!$B$55:$BD$61,7)</f>
        <v>#N/A</v>
      </c>
      <c r="X143" s="357" t="e">
        <f>HLOOKUP(X$2,'Digital goods marketplace'!$B$55:$BD$61,7)</f>
        <v>#N/A</v>
      </c>
      <c r="Y143" s="357" t="e">
        <f>HLOOKUP(Y$2,'Digital goods marketplace'!$B$55:$BD$61,7)</f>
        <v>#N/A</v>
      </c>
      <c r="Z143" s="357" t="e">
        <f>HLOOKUP(Z$2,'Digital goods marketplace'!$B$55:$BD$61,7)</f>
        <v>#N/A</v>
      </c>
      <c r="AA143" s="357" t="e">
        <f>HLOOKUP(AA$2,'Digital goods marketplace'!$B$55:$BD$61,7)</f>
        <v>#N/A</v>
      </c>
      <c r="AB143" s="357" t="e">
        <f>HLOOKUP(AB$2,'Digital goods marketplace'!$B$55:$BD$61,7)</f>
        <v>#N/A</v>
      </c>
      <c r="AC143" s="398" t="e">
        <f>HLOOKUP(AC$2,'Digital goods marketplace'!$B$55:$BD$61,7)</f>
        <v>#N/A</v>
      </c>
      <c r="AD143" s="357">
        <f>HLOOKUP(AD$2,'Digital goods marketplace'!$B$55:$BD$61,7)</f>
        <v>26908.333333333332</v>
      </c>
      <c r="AE143" s="357">
        <f>HLOOKUP(AE$2,'Digital goods marketplace'!$B$55:$BD$61,7)</f>
        <v>26908.333333333332</v>
      </c>
      <c r="AF143" s="357">
        <f>HLOOKUP(AF$2,'Digital goods marketplace'!$B$55:$BD$61,7)</f>
        <v>26938.333333333332</v>
      </c>
      <c r="AG143" s="357">
        <f>HLOOKUP(AG$2,'Digital goods marketplace'!$B$55:$BD$61,7)</f>
        <v>26968.783333333333</v>
      </c>
      <c r="AH143" s="357">
        <f>HLOOKUP(AH$2,'Digital goods marketplace'!$B$55:$BD$61,7)</f>
        <v>11562.356749999999</v>
      </c>
      <c r="AI143" s="357">
        <f>HLOOKUP(AI$2,'Digital goods marketplace'!$B$55:$BD$61,7)</f>
        <v>15834.522609311543</v>
      </c>
      <c r="AJ143" s="357">
        <f>HLOOKUP(AJ$2,'Digital goods marketplace'!$B$55:$BD$61,7)</f>
        <v>15940.599425991524</v>
      </c>
      <c r="AK143" s="357">
        <f>HLOOKUP(AK$2,'Digital goods marketplace'!$B$55:$BD$61,7)</f>
        <v>16048.638574472512</v>
      </c>
      <c r="AL143" s="357">
        <f>HLOOKUP(AL$2,'Digital goods marketplace'!$B$55:$BD$61,7)</f>
        <v>16158.676913322535</v>
      </c>
      <c r="AM143" s="357">
        <f>HLOOKUP(AM$2,'Digital goods marketplace'!$B$55:$BD$61,7)</f>
        <v>16270.752002459965</v>
      </c>
      <c r="AN143" s="358">
        <f>HLOOKUP(AN$2,'Digital goods marketplace'!$B$55:$BD$61,7)</f>
        <v>16384.902116643214</v>
      </c>
      <c r="AO143" s="357">
        <f>HLOOKUP(AO$2,'Digital goods marketplace'!$B$55:$BD$61,7)</f>
        <v>16501.166259222133</v>
      </c>
      <c r="AP143" s="357">
        <f>HLOOKUP(AP$2,'Digital goods marketplace'!$B$55:$BD$61,7)</f>
        <v>16619.584176156328</v>
      </c>
      <c r="AQ143" s="357">
        <f>HLOOKUP(AQ$2,'Digital goods marketplace'!$B$55:$BD$61,7)</f>
        <v>16740.19637030545</v>
      </c>
      <c r="AR143" s="357">
        <f>HLOOKUP(AR$2,'Digital goods marketplace'!$B$55:$BD$61,7)</f>
        <v>16863.044115996941</v>
      </c>
      <c r="AS143" s="357">
        <f>HLOOKUP(AS$2,'Digital goods marketplace'!$B$55:$BD$61,7)</f>
        <v>16988.169473876544</v>
      </c>
      <c r="AT143" s="357">
        <f>HLOOKUP(AT$2,'Digital goods marketplace'!$B$55:$BD$61,7)</f>
        <v>17115.615306047133</v>
      </c>
      <c r="AU143" s="357">
        <f>HLOOKUP(AU$2,'Digital goods marketplace'!$B$55:$BD$61,7)</f>
        <v>17245.425291501535</v>
      </c>
      <c r="AV143" s="357">
        <f>HLOOKUP(AV$2,'Digital goods marketplace'!$B$55:$BD$61,7)</f>
        <v>17377.643941855022</v>
      </c>
      <c r="AW143" s="357">
        <f>HLOOKUP(AW$2,'Digital goods marketplace'!$B$55:$BD$61,7)</f>
        <v>17512.316617383432</v>
      </c>
      <c r="AX143" s="357">
        <f>HLOOKUP(AX$2,'Digital goods marketplace'!$B$55:$BD$61,7)</f>
        <v>17649.489543372783</v>
      </c>
      <c r="AY143" s="357">
        <f>HLOOKUP(AY$2,'Digital goods marketplace'!$B$55:$BD$61,7)</f>
        <v>17789.20982678654</v>
      </c>
      <c r="AZ143" s="357">
        <f>HLOOKUP(AZ$2,'Digital goods marketplace'!$B$55:$BD$61,7)</f>
        <v>17931.52547325677</v>
      </c>
      <c r="BA143" s="398">
        <f>HLOOKUP(BA$2,'Digital goods marketplace'!$B$55:$BD$61,7)</f>
        <v>18076.485404405423</v>
      </c>
      <c r="BB143" s="357">
        <f>HLOOKUP(BB$2,'Digital goods marketplace'!$B$55:$BD$61,7)</f>
        <v>18224.139475502303</v>
      </c>
      <c r="BC143" s="357">
        <f>HLOOKUP(BC$2,'Digital goods marketplace'!$B$55:$BD$61,7)</f>
        <v>18374.538493466247</v>
      </c>
      <c r="BD143" s="357">
        <f>HLOOKUP(BD$2,'Digital goods marketplace'!$B$55:$BD$61,7)</f>
        <v>18527.734235216281</v>
      </c>
      <c r="BE143" s="357">
        <f>HLOOKUP(BE$2,'Digital goods marketplace'!$B$55:$BD$61,7)</f>
        <v>18683.779466379528</v>
      </c>
      <c r="BF143" s="357">
        <f>HLOOKUP(BF$2,'Digital goods marketplace'!$B$55:$BD$61,7)</f>
        <v>18842.727960362925</v>
      </c>
      <c r="BG143" s="357">
        <f>HLOOKUP(BG$2,'Digital goods marketplace'!$B$55:$BD$61,7)</f>
        <v>19004.634517795821</v>
      </c>
      <c r="BH143" s="357">
        <f>HLOOKUP(BH$2,'Digital goods marketplace'!$B$55:$BD$61,7)</f>
        <v>19169.554986350766</v>
      </c>
      <c r="BI143" s="357">
        <f>HLOOKUP(BI$2,'Digital goods marketplace'!$B$55:$BD$61,7)</f>
        <v>19337.546280949791</v>
      </c>
      <c r="BJ143" s="357">
        <f>HLOOKUP(BJ$2,'Digital goods marketplace'!$B$55:$BD$61,7)</f>
        <v>19508.666404363878</v>
      </c>
      <c r="BK143" s="357">
        <f>HLOOKUP(BK$2,'Digital goods marketplace'!$B$55:$BD$61,7)</f>
        <v>19682.974468213171</v>
      </c>
      <c r="BL143" s="358">
        <f>HLOOKUP(BL$2,'Digital goods marketplace'!$B$55:$BD$61,7)</f>
        <v>19860.530714375884</v>
      </c>
    </row>
    <row r="144" spans="1:64" ht="17" x14ac:dyDescent="0.25">
      <c r="A144" s="609"/>
      <c r="B144" s="607"/>
      <c r="C144" s="343" t="s">
        <v>498</v>
      </c>
      <c r="D144" s="402" t="s">
        <v>55</v>
      </c>
      <c r="E144" s="388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88"/>
      <c r="AD144" s="344"/>
      <c r="AE144" s="344"/>
      <c r="AF144" s="344"/>
      <c r="AG144" s="344"/>
      <c r="AH144" s="344"/>
      <c r="AI144" s="344"/>
      <c r="AJ144" s="344"/>
      <c r="AK144" s="344"/>
      <c r="AL144" s="344"/>
      <c r="AM144" s="344"/>
      <c r="AN144" s="345"/>
      <c r="AO144" s="344"/>
      <c r="AP144" s="344"/>
      <c r="AQ144" s="344"/>
      <c r="AR144" s="344"/>
      <c r="AS144" s="344"/>
      <c r="AT144" s="344"/>
      <c r="AU144" s="344"/>
      <c r="AV144" s="344"/>
      <c r="AW144" s="344"/>
      <c r="AX144" s="344"/>
      <c r="AY144" s="344"/>
      <c r="AZ144" s="344"/>
      <c r="BA144" s="388"/>
      <c r="BB144" s="344"/>
      <c r="BC144" s="344"/>
      <c r="BD144" s="344"/>
      <c r="BE144" s="344"/>
      <c r="BF144" s="344"/>
      <c r="BG144" s="344"/>
      <c r="BH144" s="344"/>
      <c r="BI144" s="344"/>
      <c r="BJ144" s="344"/>
      <c r="BK144" s="344"/>
      <c r="BL144" s="345"/>
    </row>
    <row r="145" spans="1:64" x14ac:dyDescent="0.25">
      <c r="A145" s="609"/>
      <c r="B145" s="607"/>
      <c r="C145" s="325" t="s">
        <v>507</v>
      </c>
      <c r="D145" s="402" t="s">
        <v>499</v>
      </c>
      <c r="E145" s="385" t="e">
        <f>(E144-E143)/E143</f>
        <v>#N/A</v>
      </c>
      <c r="F145" s="326" t="e">
        <f t="shared" ref="F145" si="966">(F144-F143)/F143</f>
        <v>#N/A</v>
      </c>
      <c r="G145" s="326" t="e">
        <f t="shared" ref="G145" si="967">(G144-G143)/G143</f>
        <v>#N/A</v>
      </c>
      <c r="H145" s="326" t="e">
        <f t="shared" ref="H145" si="968">(H144-H143)/H143</f>
        <v>#N/A</v>
      </c>
      <c r="I145" s="326" t="e">
        <f t="shared" ref="I145" si="969">(I144-I143)/I143</f>
        <v>#N/A</v>
      </c>
      <c r="J145" s="326" t="e">
        <f t="shared" ref="J145" si="970">(J144-J143)/J143</f>
        <v>#N/A</v>
      </c>
      <c r="K145" s="326" t="e">
        <f t="shared" ref="K145" si="971">(K144-K143)/K143</f>
        <v>#N/A</v>
      </c>
      <c r="L145" s="326" t="e">
        <f t="shared" ref="L145" si="972">(L144-L143)/L143</f>
        <v>#N/A</v>
      </c>
      <c r="M145" s="326" t="e">
        <f t="shared" ref="M145" si="973">(M144-M143)/M143</f>
        <v>#N/A</v>
      </c>
      <c r="N145" s="326" t="e">
        <f t="shared" ref="N145" si="974">(N144-N143)/N143</f>
        <v>#N/A</v>
      </c>
      <c r="O145" s="326" t="e">
        <f t="shared" ref="O145" si="975">(O144-O143)/O143</f>
        <v>#N/A</v>
      </c>
      <c r="P145" s="333" t="e">
        <f t="shared" ref="P145" si="976">(P144-P143)/P143</f>
        <v>#N/A</v>
      </c>
      <c r="Q145" s="326" t="e">
        <f t="shared" ref="Q145" si="977">(Q144-Q143)/Q143</f>
        <v>#N/A</v>
      </c>
      <c r="R145" s="326" t="e">
        <f t="shared" ref="R145" si="978">(R144-R143)/R143</f>
        <v>#N/A</v>
      </c>
      <c r="S145" s="326" t="e">
        <f t="shared" ref="S145" si="979">(S144-S143)/S143</f>
        <v>#N/A</v>
      </c>
      <c r="T145" s="326" t="e">
        <f t="shared" ref="T145" si="980">(T144-T143)/T143</f>
        <v>#N/A</v>
      </c>
      <c r="U145" s="326" t="e">
        <f t="shared" ref="U145" si="981">(U144-U143)/U143</f>
        <v>#N/A</v>
      </c>
      <c r="V145" s="326" t="e">
        <f t="shared" ref="V145" si="982">(V144-V143)/V143</f>
        <v>#N/A</v>
      </c>
      <c r="W145" s="326" t="e">
        <f t="shared" ref="W145" si="983">(W144-W143)/W143</f>
        <v>#N/A</v>
      </c>
      <c r="X145" s="326" t="e">
        <f t="shared" ref="X145" si="984">(X144-X143)/X143</f>
        <v>#N/A</v>
      </c>
      <c r="Y145" s="326" t="e">
        <f t="shared" ref="Y145" si="985">(Y144-Y143)/Y143</f>
        <v>#N/A</v>
      </c>
      <c r="Z145" s="326" t="e">
        <f t="shared" ref="Z145" si="986">(Z144-Z143)/Z143</f>
        <v>#N/A</v>
      </c>
      <c r="AA145" s="326" t="e">
        <f t="shared" ref="AA145" si="987">(AA144-AA143)/AA143</f>
        <v>#N/A</v>
      </c>
      <c r="AB145" s="326" t="e">
        <f t="shared" ref="AB145" si="988">(AB144-AB143)/AB143</f>
        <v>#N/A</v>
      </c>
      <c r="AC145" s="385" t="e">
        <f t="shared" ref="AC145" si="989">(AC144-AC143)/AC143</f>
        <v>#N/A</v>
      </c>
      <c r="AD145" s="326">
        <f t="shared" ref="AD145" si="990">(AD144-AD143)/AD143</f>
        <v>-1</v>
      </c>
      <c r="AE145" s="326">
        <f t="shared" ref="AE145" si="991">(AE144-AE143)/AE143</f>
        <v>-1</v>
      </c>
      <c r="AF145" s="326">
        <f t="shared" ref="AF145" si="992">(AF144-AF143)/AF143</f>
        <v>-1</v>
      </c>
      <c r="AG145" s="326">
        <f t="shared" ref="AG145" si="993">(AG144-AG143)/AG143</f>
        <v>-1</v>
      </c>
      <c r="AH145" s="326">
        <f t="shared" ref="AH145" si="994">(AH144-AH143)/AH143</f>
        <v>-1</v>
      </c>
      <c r="AI145" s="326">
        <f t="shared" ref="AI145" si="995">(AI144-AI143)/AI143</f>
        <v>-1</v>
      </c>
      <c r="AJ145" s="326">
        <f t="shared" ref="AJ145" si="996">(AJ144-AJ143)/AJ143</f>
        <v>-1</v>
      </c>
      <c r="AK145" s="326">
        <f t="shared" ref="AK145" si="997">(AK144-AK143)/AK143</f>
        <v>-1</v>
      </c>
      <c r="AL145" s="326">
        <f t="shared" ref="AL145" si="998">(AL144-AL143)/AL143</f>
        <v>-1</v>
      </c>
      <c r="AM145" s="326">
        <f t="shared" ref="AM145" si="999">(AM144-AM143)/AM143</f>
        <v>-1</v>
      </c>
      <c r="AN145" s="333">
        <f t="shared" ref="AN145" si="1000">(AN144-AN143)/AN143</f>
        <v>-1</v>
      </c>
      <c r="AO145" s="326">
        <f t="shared" ref="AO145" si="1001">(AO144-AO143)/AO143</f>
        <v>-1</v>
      </c>
      <c r="AP145" s="326">
        <f t="shared" ref="AP145" si="1002">(AP144-AP143)/AP143</f>
        <v>-1</v>
      </c>
      <c r="AQ145" s="326">
        <f t="shared" ref="AQ145" si="1003">(AQ144-AQ143)/AQ143</f>
        <v>-1</v>
      </c>
      <c r="AR145" s="326">
        <f t="shared" ref="AR145" si="1004">(AR144-AR143)/AR143</f>
        <v>-1</v>
      </c>
      <c r="AS145" s="326">
        <f t="shared" ref="AS145" si="1005">(AS144-AS143)/AS143</f>
        <v>-1</v>
      </c>
      <c r="AT145" s="326">
        <f t="shared" ref="AT145" si="1006">(AT144-AT143)/AT143</f>
        <v>-1</v>
      </c>
      <c r="AU145" s="326">
        <f t="shared" ref="AU145" si="1007">(AU144-AU143)/AU143</f>
        <v>-1</v>
      </c>
      <c r="AV145" s="326">
        <f t="shared" ref="AV145" si="1008">(AV144-AV143)/AV143</f>
        <v>-1</v>
      </c>
      <c r="AW145" s="326">
        <f t="shared" ref="AW145" si="1009">(AW144-AW143)/AW143</f>
        <v>-1</v>
      </c>
      <c r="AX145" s="326">
        <f t="shared" ref="AX145" si="1010">(AX144-AX143)/AX143</f>
        <v>-1</v>
      </c>
      <c r="AY145" s="326">
        <f t="shared" ref="AY145" si="1011">(AY144-AY143)/AY143</f>
        <v>-1</v>
      </c>
      <c r="AZ145" s="326">
        <f t="shared" ref="AZ145" si="1012">(AZ144-AZ143)/AZ143</f>
        <v>-1</v>
      </c>
      <c r="BA145" s="385">
        <f t="shared" ref="BA145" si="1013">(BA144-BA143)/BA143</f>
        <v>-1</v>
      </c>
      <c r="BB145" s="326">
        <f t="shared" ref="BB145" si="1014">(BB144-BB143)/BB143</f>
        <v>-1</v>
      </c>
      <c r="BC145" s="326">
        <f t="shared" ref="BC145" si="1015">(BC144-BC143)/BC143</f>
        <v>-1</v>
      </c>
      <c r="BD145" s="326">
        <f t="shared" ref="BD145" si="1016">(BD144-BD143)/BD143</f>
        <v>-1</v>
      </c>
      <c r="BE145" s="326">
        <f t="shared" ref="BE145" si="1017">(BE144-BE143)/BE143</f>
        <v>-1</v>
      </c>
      <c r="BF145" s="326">
        <f t="shared" ref="BF145" si="1018">(BF144-BF143)/BF143</f>
        <v>-1</v>
      </c>
      <c r="BG145" s="326">
        <f t="shared" ref="BG145" si="1019">(BG144-BG143)/BG143</f>
        <v>-1</v>
      </c>
      <c r="BH145" s="326">
        <f t="shared" ref="BH145" si="1020">(BH144-BH143)/BH143</f>
        <v>-1</v>
      </c>
      <c r="BI145" s="326">
        <f t="shared" ref="BI145" si="1021">(BI144-BI143)/BI143</f>
        <v>-1</v>
      </c>
      <c r="BJ145" s="326">
        <f t="shared" ref="BJ145" si="1022">(BJ144-BJ143)/BJ143</f>
        <v>-1</v>
      </c>
      <c r="BK145" s="326">
        <f t="shared" ref="BK145" si="1023">(BK144-BK143)/BK143</f>
        <v>-1</v>
      </c>
      <c r="BL145" s="333">
        <f t="shared" ref="BL145" si="1024">(BL144-BL143)/BL143</f>
        <v>-1</v>
      </c>
    </row>
    <row r="146" spans="1:64" ht="16" customHeight="1" x14ac:dyDescent="0.25">
      <c r="A146" s="609"/>
      <c r="B146" s="607"/>
      <c r="C146" s="372" t="s">
        <v>497</v>
      </c>
      <c r="D146" s="401" t="s">
        <v>56</v>
      </c>
      <c r="E146" s="396" t="e">
        <f>HLOOKUP(E$2,'Digital goods marketplace'!$B$64:$BD$67,4)</f>
        <v>#N/A</v>
      </c>
      <c r="F146" s="374" t="e">
        <f>HLOOKUP(F$2,'Digital goods marketplace'!$B$64:$BD$67,4)</f>
        <v>#N/A</v>
      </c>
      <c r="G146" s="374" t="e">
        <f>HLOOKUP(G$2,'Digital goods marketplace'!$B$64:$BD$67,4)</f>
        <v>#N/A</v>
      </c>
      <c r="H146" s="374" t="e">
        <f>HLOOKUP(H$2,'Digital goods marketplace'!$B$64:$BD$67,4)</f>
        <v>#N/A</v>
      </c>
      <c r="I146" s="374" t="e">
        <f>HLOOKUP(I$2,'Digital goods marketplace'!$B$64:$BD$67,4)</f>
        <v>#N/A</v>
      </c>
      <c r="J146" s="374" t="e">
        <f>HLOOKUP(J$2,'Digital goods marketplace'!$B$64:$BD$67,4)</f>
        <v>#N/A</v>
      </c>
      <c r="K146" s="374" t="e">
        <f>HLOOKUP(K$2,'Digital goods marketplace'!$B$64:$BD$67,4)</f>
        <v>#N/A</v>
      </c>
      <c r="L146" s="374" t="e">
        <f>HLOOKUP(L$2,'Digital goods marketplace'!$B$64:$BD$67,4)</f>
        <v>#N/A</v>
      </c>
      <c r="M146" s="374" t="e">
        <f>HLOOKUP(M$2,'Digital goods marketplace'!$B$64:$BD$67,4)</f>
        <v>#N/A</v>
      </c>
      <c r="N146" s="374" t="e">
        <f>HLOOKUP(N$2,'Digital goods marketplace'!$B$64:$BD$67,4)</f>
        <v>#N/A</v>
      </c>
      <c r="O146" s="374" t="e">
        <f>HLOOKUP(O$2,'Digital goods marketplace'!$B$64:$BD$67,4)</f>
        <v>#N/A</v>
      </c>
      <c r="P146" s="397" t="e">
        <f>HLOOKUP(P$2,'Digital goods marketplace'!$B$64:$BD$67,4)</f>
        <v>#N/A</v>
      </c>
      <c r="Q146" s="374" t="e">
        <f>HLOOKUP(Q$2,'Digital goods marketplace'!$B$64:$BD$67,4)</f>
        <v>#N/A</v>
      </c>
      <c r="R146" s="374" t="e">
        <f>HLOOKUP(R$2,'Digital goods marketplace'!$B$64:$BD$67,4)</f>
        <v>#N/A</v>
      </c>
      <c r="S146" s="374" t="e">
        <f>HLOOKUP(S$2,'Digital goods marketplace'!$B$64:$BD$67,4)</f>
        <v>#N/A</v>
      </c>
      <c r="T146" s="374" t="e">
        <f>HLOOKUP(T$2,'Digital goods marketplace'!$B$64:$BD$67,4)</f>
        <v>#N/A</v>
      </c>
      <c r="U146" s="374" t="e">
        <f>HLOOKUP(U$2,'Digital goods marketplace'!$B$64:$BD$67,4)</f>
        <v>#N/A</v>
      </c>
      <c r="V146" s="374" t="e">
        <f>HLOOKUP(V$2,'Digital goods marketplace'!$B$64:$BD$67,4)</f>
        <v>#N/A</v>
      </c>
      <c r="W146" s="374" t="e">
        <f>HLOOKUP(W$2,'Digital goods marketplace'!$B$64:$BD$67,4)</f>
        <v>#N/A</v>
      </c>
      <c r="X146" s="374" t="e">
        <f>HLOOKUP(X$2,'Digital goods marketplace'!$B$64:$BD$67,4)</f>
        <v>#N/A</v>
      </c>
      <c r="Y146" s="374" t="e">
        <f>HLOOKUP(Y$2,'Digital goods marketplace'!$B$64:$BD$67,4)</f>
        <v>#N/A</v>
      </c>
      <c r="Z146" s="374" t="e">
        <f>HLOOKUP(Z$2,'Digital goods marketplace'!$B$64:$BD$67,4)</f>
        <v>#N/A</v>
      </c>
      <c r="AA146" s="374" t="e">
        <f>HLOOKUP(AA$2,'Digital goods marketplace'!$B$64:$BD$67,4)</f>
        <v>#N/A</v>
      </c>
      <c r="AB146" s="374" t="e">
        <f>HLOOKUP(AB$2,'Digital goods marketplace'!$B$64:$BD$67,4)</f>
        <v>#N/A</v>
      </c>
      <c r="AC146" s="396" t="e">
        <f>HLOOKUP(AC$2,'Digital goods marketplace'!$B$64:$BD$67,4)</f>
        <v>#N/A</v>
      </c>
      <c r="AD146" s="374">
        <f>HLOOKUP(AD$2,'Digital goods marketplace'!$B$64:$BD$67,4)</f>
        <v>-26908.333333333332</v>
      </c>
      <c r="AE146" s="374">
        <f>HLOOKUP(AE$2,'Digital goods marketplace'!$B$64:$BD$67,4)</f>
        <v>-26908.333333333332</v>
      </c>
      <c r="AF146" s="374">
        <f>HLOOKUP(AF$2,'Digital goods marketplace'!$B$64:$BD$67,4)</f>
        <v>-26938.333333333332</v>
      </c>
      <c r="AG146" s="374">
        <f>HLOOKUP(AG$2,'Digital goods marketplace'!$B$64:$BD$67,4)</f>
        <v>-26968.783333333333</v>
      </c>
      <c r="AH146" s="374">
        <f>HLOOKUP(AH$2,'Digital goods marketplace'!$B$64:$BD$67,4)</f>
        <v>-11562.356749999999</v>
      </c>
      <c r="AI146" s="374">
        <f>HLOOKUP(AI$2,'Digital goods marketplace'!$B$64:$BD$67,4)</f>
        <v>169755.25279376569</v>
      </c>
      <c r="AJ146" s="374">
        <f>HLOOKUP(AJ$2,'Digital goods marketplace'!$B$64:$BD$67,4)</f>
        <v>173360.97148514728</v>
      </c>
      <c r="AK146" s="374">
        <f>HLOOKUP(AK$2,'Digital goods marketplace'!$B$64:$BD$67,4)</f>
        <v>177038.96375488909</v>
      </c>
      <c r="AL146" s="374">
        <f>HLOOKUP(AL$2,'Digital goods marketplace'!$B$64:$BD$67,4)</f>
        <v>180790.67746262628</v>
      </c>
      <c r="AM146" s="374">
        <f>HLOOKUP(AM$2,'Digital goods marketplace'!$B$64:$BD$67,4)</f>
        <v>184617.5894610078</v>
      </c>
      <c r="AN146" s="397">
        <f>HLOOKUP(AN$2,'Digital goods marketplace'!$B$64:$BD$67,4)</f>
        <v>188521.20617609387</v>
      </c>
      <c r="AO146" s="374">
        <f>HLOOKUP(AO$2,'Digital goods marketplace'!$B$64:$BD$67,4)</f>
        <v>192503.06419936969</v>
      </c>
      <c r="AP146" s="374">
        <f>HLOOKUP(AP$2,'Digital goods marketplace'!$B$64:$BD$67,4)</f>
        <v>196564.73089160738</v>
      </c>
      <c r="AQ146" s="374">
        <f>HLOOKUP(AQ$2,'Digital goods marketplace'!$B$64:$BD$67,4)</f>
        <v>200707.80499881355</v>
      </c>
      <c r="AR146" s="374">
        <f>HLOOKUP(AR$2,'Digital goods marketplace'!$B$64:$BD$67,4)</f>
        <v>204933.91728050442</v>
      </c>
      <c r="AS146" s="374">
        <f>HLOOKUP(AS$2,'Digital goods marketplace'!$B$64:$BD$67,4)</f>
        <v>209244.73115055484</v>
      </c>
      <c r="AT146" s="374">
        <f>HLOOKUP(AT$2,'Digital goods marketplace'!$B$64:$BD$67,4)</f>
        <v>213641.94333087286</v>
      </c>
      <c r="AU146" s="374">
        <f>HLOOKUP(AU$2,'Digital goods marketplace'!$B$64:$BD$67,4)</f>
        <v>218127.28451815687</v>
      </c>
      <c r="AV146" s="374">
        <f>HLOOKUP(AV$2,'Digital goods marketplace'!$B$64:$BD$67,4)</f>
        <v>222702.52006399655</v>
      </c>
      <c r="AW146" s="374">
        <f>HLOOKUP(AW$2,'Digital goods marketplace'!$B$64:$BD$67,4)</f>
        <v>227369.45066858514</v>
      </c>
      <c r="AX146" s="374">
        <f>HLOOKUP(AX$2,'Digital goods marketplace'!$B$64:$BD$67,4)</f>
        <v>232129.91308831517</v>
      </c>
      <c r="AY146" s="374">
        <f>HLOOKUP(AY$2,'Digital goods marketplace'!$B$64:$BD$67,4)</f>
        <v>236985.78085753517</v>
      </c>
      <c r="AZ146" s="374">
        <f>HLOOKUP(AZ$2,'Digital goods marketplace'!$B$64:$BD$67,4)</f>
        <v>241938.96502475138</v>
      </c>
      <c r="BA146" s="396">
        <f>HLOOKUP(BA$2,'Digital goods marketplace'!$B$64:$BD$67,4)</f>
        <v>246991.41490356284</v>
      </c>
      <c r="BB146" s="374">
        <f>HLOOKUP(BB$2,'Digital goods marketplace'!$B$64:$BD$67,4)</f>
        <v>252145.11883862538</v>
      </c>
      <c r="BC146" s="374">
        <f>HLOOKUP(BC$2,'Digital goods marketplace'!$B$64:$BD$67,4)</f>
        <v>257402.10498694397</v>
      </c>
      <c r="BD146" s="374">
        <f>HLOOKUP(BD$2,'Digital goods marketplace'!$B$64:$BD$67,4)</f>
        <v>262764.44211480219</v>
      </c>
      <c r="BE146" s="374">
        <f>HLOOKUP(BE$2,'Digital goods marketplace'!$B$64:$BD$67,4)</f>
        <v>268234.24041063926</v>
      </c>
      <c r="BF146" s="374">
        <f>HLOOKUP(BF$2,'Digital goods marketplace'!$B$64:$BD$67,4)</f>
        <v>273813.65231419628</v>
      </c>
      <c r="BG146" s="374">
        <f>HLOOKUP(BG$2,'Digital goods marketplace'!$B$64:$BD$67,4)</f>
        <v>279504.87336225458</v>
      </c>
      <c r="BH146" s="374">
        <f>HLOOKUP(BH$2,'Digital goods marketplace'!$B$64:$BD$67,4)</f>
        <v>285310.14305130066</v>
      </c>
      <c r="BI146" s="374">
        <f>HLOOKUP(BI$2,'Digital goods marketplace'!$B$64:$BD$67,4)</f>
        <v>291231.74571745464</v>
      </c>
      <c r="BJ146" s="374">
        <f>HLOOKUP(BJ$2,'Digital goods marketplace'!$B$64:$BD$67,4)</f>
        <v>297272.01143400866</v>
      </c>
      <c r="BK146" s="374">
        <f>HLOOKUP(BK$2,'Digital goods marketplace'!$B$64:$BD$67,4)</f>
        <v>303433.31692692678</v>
      </c>
      <c r="BL146" s="397">
        <f>HLOOKUP(BL$2,'Digital goods marketplace'!$B$64:$BD$67,4)</f>
        <v>309718.08650866686</v>
      </c>
    </row>
    <row r="147" spans="1:64" ht="17" x14ac:dyDescent="0.25">
      <c r="A147" s="609"/>
      <c r="B147" s="607"/>
      <c r="C147" s="373" t="s">
        <v>498</v>
      </c>
      <c r="D147" s="402" t="s">
        <v>56</v>
      </c>
      <c r="E147" s="388">
        <f>E141-E144</f>
        <v>0</v>
      </c>
      <c r="F147" s="344">
        <f t="shared" ref="F147:BL147" si="1025">F141-F144</f>
        <v>0</v>
      </c>
      <c r="G147" s="344">
        <f t="shared" si="1025"/>
        <v>0</v>
      </c>
      <c r="H147" s="344">
        <f t="shared" si="1025"/>
        <v>0</v>
      </c>
      <c r="I147" s="344">
        <f t="shared" si="1025"/>
        <v>0</v>
      </c>
      <c r="J147" s="344">
        <f t="shared" si="1025"/>
        <v>0</v>
      </c>
      <c r="K147" s="344">
        <f t="shared" si="1025"/>
        <v>0</v>
      </c>
      <c r="L147" s="344">
        <f t="shared" si="1025"/>
        <v>0</v>
      </c>
      <c r="M147" s="344">
        <f t="shared" si="1025"/>
        <v>0</v>
      </c>
      <c r="N147" s="344">
        <f t="shared" si="1025"/>
        <v>0</v>
      </c>
      <c r="O147" s="344">
        <f t="shared" si="1025"/>
        <v>0</v>
      </c>
      <c r="P147" s="345">
        <f t="shared" si="1025"/>
        <v>0</v>
      </c>
      <c r="Q147" s="344">
        <f t="shared" si="1025"/>
        <v>0</v>
      </c>
      <c r="R147" s="344">
        <f t="shared" si="1025"/>
        <v>0</v>
      </c>
      <c r="S147" s="344">
        <f t="shared" si="1025"/>
        <v>0</v>
      </c>
      <c r="T147" s="344">
        <f t="shared" si="1025"/>
        <v>0</v>
      </c>
      <c r="U147" s="344">
        <f t="shared" si="1025"/>
        <v>0</v>
      </c>
      <c r="V147" s="344">
        <f t="shared" si="1025"/>
        <v>0</v>
      </c>
      <c r="W147" s="344">
        <f t="shared" si="1025"/>
        <v>0</v>
      </c>
      <c r="X147" s="344">
        <f t="shared" si="1025"/>
        <v>0</v>
      </c>
      <c r="Y147" s="344">
        <f t="shared" si="1025"/>
        <v>0</v>
      </c>
      <c r="Z147" s="344">
        <f t="shared" si="1025"/>
        <v>0</v>
      </c>
      <c r="AA147" s="344">
        <f t="shared" si="1025"/>
        <v>0</v>
      </c>
      <c r="AB147" s="344">
        <f t="shared" si="1025"/>
        <v>0</v>
      </c>
      <c r="AC147" s="388">
        <f t="shared" si="1025"/>
        <v>0</v>
      </c>
      <c r="AD147" s="344">
        <f t="shared" si="1025"/>
        <v>0</v>
      </c>
      <c r="AE147" s="344">
        <f t="shared" si="1025"/>
        <v>0</v>
      </c>
      <c r="AF147" s="344">
        <f t="shared" si="1025"/>
        <v>0</v>
      </c>
      <c r="AG147" s="344">
        <f t="shared" si="1025"/>
        <v>0</v>
      </c>
      <c r="AH147" s="344">
        <f t="shared" si="1025"/>
        <v>0</v>
      </c>
      <c r="AI147" s="344">
        <f t="shared" si="1025"/>
        <v>0</v>
      </c>
      <c r="AJ147" s="344">
        <f t="shared" si="1025"/>
        <v>0</v>
      </c>
      <c r="AK147" s="344">
        <f t="shared" si="1025"/>
        <v>0</v>
      </c>
      <c r="AL147" s="344">
        <f t="shared" si="1025"/>
        <v>0</v>
      </c>
      <c r="AM147" s="344">
        <f t="shared" si="1025"/>
        <v>0</v>
      </c>
      <c r="AN147" s="345">
        <f t="shared" si="1025"/>
        <v>0</v>
      </c>
      <c r="AO147" s="344">
        <f t="shared" si="1025"/>
        <v>0</v>
      </c>
      <c r="AP147" s="344">
        <f t="shared" si="1025"/>
        <v>0</v>
      </c>
      <c r="AQ147" s="344">
        <f t="shared" si="1025"/>
        <v>0</v>
      </c>
      <c r="AR147" s="344">
        <f t="shared" si="1025"/>
        <v>0</v>
      </c>
      <c r="AS147" s="344">
        <f t="shared" si="1025"/>
        <v>0</v>
      </c>
      <c r="AT147" s="344">
        <f t="shared" si="1025"/>
        <v>0</v>
      </c>
      <c r="AU147" s="344">
        <f t="shared" si="1025"/>
        <v>0</v>
      </c>
      <c r="AV147" s="344">
        <f t="shared" si="1025"/>
        <v>0</v>
      </c>
      <c r="AW147" s="344">
        <f t="shared" si="1025"/>
        <v>0</v>
      </c>
      <c r="AX147" s="344">
        <f t="shared" si="1025"/>
        <v>0</v>
      </c>
      <c r="AY147" s="344">
        <f t="shared" si="1025"/>
        <v>0</v>
      </c>
      <c r="AZ147" s="344">
        <f t="shared" si="1025"/>
        <v>0</v>
      </c>
      <c r="BA147" s="388">
        <f t="shared" si="1025"/>
        <v>0</v>
      </c>
      <c r="BB147" s="344">
        <f t="shared" si="1025"/>
        <v>0</v>
      </c>
      <c r="BC147" s="344">
        <f t="shared" si="1025"/>
        <v>0</v>
      </c>
      <c r="BD147" s="344">
        <f t="shared" si="1025"/>
        <v>0</v>
      </c>
      <c r="BE147" s="344">
        <f t="shared" si="1025"/>
        <v>0</v>
      </c>
      <c r="BF147" s="344">
        <f t="shared" si="1025"/>
        <v>0</v>
      </c>
      <c r="BG147" s="344">
        <f t="shared" si="1025"/>
        <v>0</v>
      </c>
      <c r="BH147" s="344">
        <f t="shared" si="1025"/>
        <v>0</v>
      </c>
      <c r="BI147" s="344">
        <f t="shared" si="1025"/>
        <v>0</v>
      </c>
      <c r="BJ147" s="344">
        <f t="shared" si="1025"/>
        <v>0</v>
      </c>
      <c r="BK147" s="344">
        <f t="shared" si="1025"/>
        <v>0</v>
      </c>
      <c r="BL147" s="345">
        <f t="shared" si="1025"/>
        <v>0</v>
      </c>
    </row>
    <row r="148" spans="1:64" ht="17" thickBot="1" x14ac:dyDescent="0.3">
      <c r="A148" s="610"/>
      <c r="B148" s="611"/>
      <c r="C148" s="424" t="s">
        <v>507</v>
      </c>
      <c r="D148" s="404" t="s">
        <v>499</v>
      </c>
      <c r="E148" s="425" t="e">
        <f>E147-E146</f>
        <v>#N/A</v>
      </c>
      <c r="F148" s="359" t="e">
        <f t="shared" ref="F148" si="1026">F147-F146</f>
        <v>#N/A</v>
      </c>
      <c r="G148" s="359" t="e">
        <f t="shared" ref="G148" si="1027">G147-G146</f>
        <v>#N/A</v>
      </c>
      <c r="H148" s="359" t="e">
        <f t="shared" ref="H148" si="1028">H147-H146</f>
        <v>#N/A</v>
      </c>
      <c r="I148" s="359" t="e">
        <f t="shared" ref="I148" si="1029">I147-I146</f>
        <v>#N/A</v>
      </c>
      <c r="J148" s="359" t="e">
        <f t="shared" ref="J148" si="1030">J147-J146</f>
        <v>#N/A</v>
      </c>
      <c r="K148" s="359" t="e">
        <f t="shared" ref="K148" si="1031">K147-K146</f>
        <v>#N/A</v>
      </c>
      <c r="L148" s="359" t="e">
        <f t="shared" ref="L148" si="1032">L147-L146</f>
        <v>#N/A</v>
      </c>
      <c r="M148" s="359" t="e">
        <f t="shared" ref="M148" si="1033">M147-M146</f>
        <v>#N/A</v>
      </c>
      <c r="N148" s="359" t="e">
        <f t="shared" ref="N148" si="1034">N147-N146</f>
        <v>#N/A</v>
      </c>
      <c r="O148" s="359" t="e">
        <f t="shared" ref="O148" si="1035">O147-O146</f>
        <v>#N/A</v>
      </c>
      <c r="P148" s="360" t="e">
        <f t="shared" ref="P148" si="1036">P147-P146</f>
        <v>#N/A</v>
      </c>
      <c r="Q148" s="359" t="e">
        <f t="shared" ref="Q148" si="1037">Q147-Q146</f>
        <v>#N/A</v>
      </c>
      <c r="R148" s="359" t="e">
        <f t="shared" ref="R148" si="1038">R147-R146</f>
        <v>#N/A</v>
      </c>
      <c r="S148" s="359" t="e">
        <f>S147-S146</f>
        <v>#N/A</v>
      </c>
      <c r="T148" s="359" t="e">
        <f t="shared" ref="T148" si="1039">T147-T146</f>
        <v>#N/A</v>
      </c>
      <c r="U148" s="359" t="e">
        <f t="shared" ref="U148" si="1040">U147-U146</f>
        <v>#N/A</v>
      </c>
      <c r="V148" s="359" t="e">
        <f t="shared" ref="V148" si="1041">V147-V146</f>
        <v>#N/A</v>
      </c>
      <c r="W148" s="359" t="e">
        <f t="shared" ref="W148" si="1042">W147-W146</f>
        <v>#N/A</v>
      </c>
      <c r="X148" s="359" t="e">
        <f t="shared" ref="X148" si="1043">X147-X146</f>
        <v>#N/A</v>
      </c>
      <c r="Y148" s="359" t="e">
        <f t="shared" ref="Y148" si="1044">Y147-Y146</f>
        <v>#N/A</v>
      </c>
      <c r="Z148" s="359" t="e">
        <f t="shared" ref="Z148" si="1045">Z147-Z146</f>
        <v>#N/A</v>
      </c>
      <c r="AA148" s="359" t="e">
        <f t="shared" ref="AA148" si="1046">AA147-AA146</f>
        <v>#N/A</v>
      </c>
      <c r="AB148" s="359" t="e">
        <f t="shared" ref="AB148" si="1047">AB147-AB146</f>
        <v>#N/A</v>
      </c>
      <c r="AC148" s="425" t="e">
        <f t="shared" ref="AC148" si="1048">AC147-AC146</f>
        <v>#N/A</v>
      </c>
      <c r="AD148" s="359">
        <f t="shared" ref="AD148" si="1049">AD147-AD146</f>
        <v>26908.333333333332</v>
      </c>
      <c r="AE148" s="359">
        <f t="shared" ref="AE148" si="1050">AE147-AE146</f>
        <v>26908.333333333332</v>
      </c>
      <c r="AF148" s="359">
        <f t="shared" ref="AF148" si="1051">AF147-AF146</f>
        <v>26938.333333333332</v>
      </c>
      <c r="AG148" s="359">
        <f t="shared" ref="AG148" si="1052">AG147-AG146</f>
        <v>26968.783333333333</v>
      </c>
      <c r="AH148" s="359">
        <f t="shared" ref="AH148" si="1053">AH147-AH146</f>
        <v>11562.356749999999</v>
      </c>
      <c r="AI148" s="359">
        <f t="shared" ref="AI148" si="1054">AI147-AI146</f>
        <v>-169755.25279376569</v>
      </c>
      <c r="AJ148" s="359">
        <f t="shared" ref="AJ148" si="1055">AJ147-AJ146</f>
        <v>-173360.97148514728</v>
      </c>
      <c r="AK148" s="359">
        <f t="shared" ref="AK148" si="1056">AK147-AK146</f>
        <v>-177038.96375488909</v>
      </c>
      <c r="AL148" s="359">
        <f t="shared" ref="AL148" si="1057">AL147-AL146</f>
        <v>-180790.67746262628</v>
      </c>
      <c r="AM148" s="359">
        <f t="shared" ref="AM148" si="1058">AM147-AM146</f>
        <v>-184617.5894610078</v>
      </c>
      <c r="AN148" s="360">
        <f t="shared" ref="AN148" si="1059">AN147-AN146</f>
        <v>-188521.20617609387</v>
      </c>
      <c r="AO148" s="359">
        <f t="shared" ref="AO148" si="1060">AO147-AO146</f>
        <v>-192503.06419936969</v>
      </c>
      <c r="AP148" s="359">
        <f t="shared" ref="AP148" si="1061">AP147-AP146</f>
        <v>-196564.73089160738</v>
      </c>
      <c r="AQ148" s="359">
        <f t="shared" ref="AQ148" si="1062">AQ147-AQ146</f>
        <v>-200707.80499881355</v>
      </c>
      <c r="AR148" s="359">
        <f t="shared" ref="AR148" si="1063">AR147-AR146</f>
        <v>-204933.91728050442</v>
      </c>
      <c r="AS148" s="359">
        <f t="shared" ref="AS148" si="1064">AS147-AS146</f>
        <v>-209244.73115055484</v>
      </c>
      <c r="AT148" s="359">
        <f t="shared" ref="AT148" si="1065">AT147-AT146</f>
        <v>-213641.94333087286</v>
      </c>
      <c r="AU148" s="359">
        <f t="shared" ref="AU148" si="1066">AU147-AU146</f>
        <v>-218127.28451815687</v>
      </c>
      <c r="AV148" s="359">
        <f t="shared" ref="AV148" si="1067">AV147-AV146</f>
        <v>-222702.52006399655</v>
      </c>
      <c r="AW148" s="359">
        <f t="shared" ref="AW148" si="1068">AW147-AW146</f>
        <v>-227369.45066858514</v>
      </c>
      <c r="AX148" s="359">
        <f t="shared" ref="AX148" si="1069">AX147-AX146</f>
        <v>-232129.91308831517</v>
      </c>
      <c r="AY148" s="359">
        <f t="shared" ref="AY148" si="1070">AY147-AY146</f>
        <v>-236985.78085753517</v>
      </c>
      <c r="AZ148" s="359">
        <f t="shared" ref="AZ148" si="1071">AZ147-AZ146</f>
        <v>-241938.96502475138</v>
      </c>
      <c r="BA148" s="425">
        <f t="shared" ref="BA148" si="1072">BA147-BA146</f>
        <v>-246991.41490356284</v>
      </c>
      <c r="BB148" s="359">
        <f t="shared" ref="BB148" si="1073">BB147-BB146</f>
        <v>-252145.11883862538</v>
      </c>
      <c r="BC148" s="359">
        <f t="shared" ref="BC148" si="1074">BC147-BC146</f>
        <v>-257402.10498694397</v>
      </c>
      <c r="BD148" s="359">
        <f t="shared" ref="BD148" si="1075">BD147-BD146</f>
        <v>-262764.44211480219</v>
      </c>
      <c r="BE148" s="359">
        <f t="shared" ref="BE148" si="1076">BE147-BE146</f>
        <v>-268234.24041063926</v>
      </c>
      <c r="BF148" s="359">
        <f t="shared" ref="BF148" si="1077">BF147-BF146</f>
        <v>-273813.65231419628</v>
      </c>
      <c r="BG148" s="359">
        <f t="shared" ref="BG148" si="1078">BG147-BG146</f>
        <v>-279504.87336225458</v>
      </c>
      <c r="BH148" s="359">
        <f t="shared" ref="BH148" si="1079">BH147-BH146</f>
        <v>-285310.14305130066</v>
      </c>
      <c r="BI148" s="359">
        <f t="shared" ref="BI148" si="1080">BI147-BI146</f>
        <v>-291231.74571745464</v>
      </c>
      <c r="BJ148" s="359">
        <f t="shared" ref="BJ148" si="1081">BJ147-BJ146</f>
        <v>-297272.01143400866</v>
      </c>
      <c r="BK148" s="359">
        <f t="shared" ref="BK148" si="1082">BK147-BK146</f>
        <v>-303433.31692692678</v>
      </c>
      <c r="BL148" s="360">
        <f t="shared" ref="BL148" si="1083">BL147-BL146</f>
        <v>-309718.08650866686</v>
      </c>
    </row>
    <row r="149" spans="1:64" ht="17" x14ac:dyDescent="0.25">
      <c r="A149" s="608">
        <v>8</v>
      </c>
      <c r="B149" s="606" t="str">
        <f>'Media rights marketplace'!A1</f>
        <v>BM6 : Media rights marketplace</v>
      </c>
      <c r="C149" s="420" t="s">
        <v>497</v>
      </c>
      <c r="D149" s="405" t="s">
        <v>518</v>
      </c>
      <c r="E149" s="421">
        <f>'Media rights marketplace'!B16</f>
        <v>150</v>
      </c>
      <c r="F149" s="329"/>
      <c r="G149" s="329"/>
      <c r="H149" s="329"/>
      <c r="I149" s="329"/>
      <c r="J149" s="329"/>
      <c r="K149" s="329"/>
      <c r="L149" s="329"/>
      <c r="M149" s="329"/>
      <c r="N149" s="329"/>
      <c r="O149" s="329"/>
      <c r="P149" s="422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  <c r="AA149" s="329"/>
      <c r="AB149" s="329"/>
      <c r="AC149" s="423"/>
      <c r="AD149" s="329"/>
      <c r="AE149" s="329"/>
      <c r="AF149" s="329"/>
      <c r="AG149" s="329"/>
      <c r="AH149" s="329"/>
      <c r="AI149" s="329"/>
      <c r="AJ149" s="329"/>
      <c r="AK149" s="329"/>
      <c r="AL149" s="329"/>
      <c r="AM149" s="329"/>
      <c r="AN149" s="422"/>
      <c r="AO149" s="329"/>
      <c r="AP149" s="329"/>
      <c r="AQ149" s="329"/>
      <c r="AR149" s="329"/>
      <c r="AS149" s="329"/>
      <c r="AT149" s="329"/>
      <c r="AU149" s="329"/>
      <c r="AV149" s="329"/>
      <c r="AW149" s="329"/>
      <c r="AX149" s="329"/>
      <c r="AY149" s="329"/>
      <c r="AZ149" s="329"/>
      <c r="BA149" s="423"/>
      <c r="BB149" s="329"/>
      <c r="BC149" s="329"/>
      <c r="BD149" s="329"/>
      <c r="BE149" s="329"/>
      <c r="BF149" s="329"/>
      <c r="BG149" s="329"/>
      <c r="BH149" s="329"/>
      <c r="BI149" s="329"/>
      <c r="BJ149" s="329"/>
      <c r="BK149" s="329"/>
      <c r="BL149" s="422"/>
    </row>
    <row r="150" spans="1:64" ht="17" x14ac:dyDescent="0.25">
      <c r="A150" s="609"/>
      <c r="B150" s="607"/>
      <c r="C150" s="373" t="s">
        <v>498</v>
      </c>
      <c r="D150" s="402" t="s">
        <v>518</v>
      </c>
      <c r="E150" s="409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352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399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352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399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352"/>
    </row>
    <row r="151" spans="1:64" x14ac:dyDescent="0.25">
      <c r="A151" s="609"/>
      <c r="B151" s="607"/>
      <c r="C151" s="370" t="s">
        <v>507</v>
      </c>
      <c r="D151" s="403" t="s">
        <v>499</v>
      </c>
      <c r="E151" s="410">
        <f>E150-E149</f>
        <v>-150</v>
      </c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352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399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352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399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352"/>
    </row>
    <row r="152" spans="1:64" ht="17" x14ac:dyDescent="0.25">
      <c r="A152" s="609"/>
      <c r="B152" s="607"/>
      <c r="C152" s="372" t="s">
        <v>497</v>
      </c>
      <c r="D152" s="401" t="s">
        <v>519</v>
      </c>
      <c r="E152" s="408" cm="1">
        <f t="array" ref="E152:F152">'Media rights marketplace'!B13:C13</f>
        <v>15</v>
      </c>
      <c r="F152" s="53">
        <v>0</v>
      </c>
      <c r="G152" s="53"/>
      <c r="H152" s="53"/>
      <c r="I152" s="53"/>
      <c r="J152" s="53"/>
      <c r="K152" s="53"/>
      <c r="L152" s="53"/>
      <c r="M152" s="53"/>
      <c r="N152" s="53"/>
      <c r="O152" s="53"/>
      <c r="P152" s="352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399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352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399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352"/>
    </row>
    <row r="153" spans="1:64" ht="17" x14ac:dyDescent="0.25">
      <c r="A153" s="609"/>
      <c r="B153" s="607"/>
      <c r="C153" s="373" t="s">
        <v>498</v>
      </c>
      <c r="D153" s="402" t="s">
        <v>519</v>
      </c>
      <c r="E153" s="409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352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399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352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399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352"/>
    </row>
    <row r="154" spans="1:64" x14ac:dyDescent="0.25">
      <c r="A154" s="609"/>
      <c r="B154" s="607"/>
      <c r="C154" s="370" t="s">
        <v>507</v>
      </c>
      <c r="D154" s="403" t="s">
        <v>499</v>
      </c>
      <c r="E154" s="410">
        <f>E153-E152</f>
        <v>-15</v>
      </c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352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399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352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399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352"/>
    </row>
    <row r="155" spans="1:64" ht="17" x14ac:dyDescent="0.25">
      <c r="A155" s="609"/>
      <c r="B155" s="607"/>
      <c r="C155" s="372" t="s">
        <v>497</v>
      </c>
      <c r="D155" s="401" t="s">
        <v>521</v>
      </c>
      <c r="E155" s="396">
        <f>'Media rights marketplace'!F13</f>
        <v>132160</v>
      </c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352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399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352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399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352"/>
    </row>
    <row r="156" spans="1:64" ht="17" x14ac:dyDescent="0.25">
      <c r="A156" s="609"/>
      <c r="B156" s="607"/>
      <c r="C156" s="373" t="s">
        <v>498</v>
      </c>
      <c r="D156" s="402" t="s">
        <v>519</v>
      </c>
      <c r="E156" s="388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352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399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352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399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352"/>
    </row>
    <row r="157" spans="1:64" x14ac:dyDescent="0.25">
      <c r="A157" s="609"/>
      <c r="B157" s="607"/>
      <c r="C157" s="370" t="s">
        <v>507</v>
      </c>
      <c r="D157" s="403" t="s">
        <v>499</v>
      </c>
      <c r="E157" s="413">
        <f>E156-E155</f>
        <v>-132160</v>
      </c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352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399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352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399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352"/>
    </row>
    <row r="158" spans="1:64" ht="17" x14ac:dyDescent="0.25">
      <c r="A158" s="609"/>
      <c r="B158" s="607"/>
      <c r="C158" s="372" t="s">
        <v>497</v>
      </c>
      <c r="D158" s="401" t="s">
        <v>520</v>
      </c>
      <c r="E158" s="408">
        <f>'Media rights marketplace'!B19</f>
        <v>60</v>
      </c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352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399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352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399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352"/>
    </row>
    <row r="159" spans="1:64" ht="17" x14ac:dyDescent="0.25">
      <c r="A159" s="609"/>
      <c r="B159" s="607"/>
      <c r="C159" s="373" t="s">
        <v>498</v>
      </c>
      <c r="D159" s="402" t="s">
        <v>520</v>
      </c>
      <c r="E159" s="409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352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399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352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399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352"/>
    </row>
    <row r="160" spans="1:64" x14ac:dyDescent="0.25">
      <c r="A160" s="609"/>
      <c r="B160" s="607"/>
      <c r="C160" s="370" t="s">
        <v>507</v>
      </c>
      <c r="D160" s="403" t="s">
        <v>499</v>
      </c>
      <c r="E160" s="410">
        <f>E159-E158</f>
        <v>-60</v>
      </c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352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399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352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399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352"/>
    </row>
    <row r="161" spans="1:64" ht="17" x14ac:dyDescent="0.25">
      <c r="A161" s="609"/>
      <c r="B161" s="607"/>
      <c r="C161" s="372" t="s">
        <v>497</v>
      </c>
      <c r="D161" s="401" t="s">
        <v>522</v>
      </c>
      <c r="E161" s="396">
        <f>'Media rights marketplace'!M13</f>
        <v>21742</v>
      </c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352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399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352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399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352"/>
    </row>
    <row r="162" spans="1:64" ht="17" x14ac:dyDescent="0.25">
      <c r="A162" s="609"/>
      <c r="B162" s="607"/>
      <c r="C162" s="373" t="s">
        <v>498</v>
      </c>
      <c r="D162" s="402" t="s">
        <v>522</v>
      </c>
      <c r="E162" s="388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352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399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352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399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352"/>
    </row>
    <row r="163" spans="1:64" x14ac:dyDescent="0.25">
      <c r="A163" s="609"/>
      <c r="B163" s="607"/>
      <c r="C163" s="370" t="s">
        <v>507</v>
      </c>
      <c r="D163" s="403" t="s">
        <v>499</v>
      </c>
      <c r="E163" s="413">
        <f>E162-E161</f>
        <v>-21742</v>
      </c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352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399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352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399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352"/>
    </row>
    <row r="164" spans="1:64" ht="17" x14ac:dyDescent="0.25">
      <c r="A164" s="609"/>
      <c r="B164" s="607"/>
      <c r="C164" s="372" t="s">
        <v>497</v>
      </c>
      <c r="D164" s="401" t="s">
        <v>410</v>
      </c>
      <c r="E164" s="408">
        <f>'Media rights marketplace'!B92</f>
        <v>7</v>
      </c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352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399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352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399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352"/>
    </row>
    <row r="165" spans="1:64" ht="17" x14ac:dyDescent="0.25">
      <c r="A165" s="609"/>
      <c r="B165" s="607"/>
      <c r="C165" s="373" t="s">
        <v>498</v>
      </c>
      <c r="D165" s="402" t="str">
        <f>D164</f>
        <v>N° of months before 1st revenues</v>
      </c>
      <c r="E165" s="409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352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399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352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399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352"/>
    </row>
    <row r="166" spans="1:64" x14ac:dyDescent="0.25">
      <c r="A166" s="609"/>
      <c r="B166" s="607"/>
      <c r="C166" s="370" t="s">
        <v>507</v>
      </c>
      <c r="D166" s="403" t="s">
        <v>499</v>
      </c>
      <c r="E166" s="410">
        <f>E165-E164</f>
        <v>-7</v>
      </c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352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399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352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399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352"/>
    </row>
    <row r="167" spans="1:64" ht="17" x14ac:dyDescent="0.25">
      <c r="A167" s="609"/>
      <c r="B167" s="607"/>
      <c r="C167" s="372" t="s">
        <v>497</v>
      </c>
      <c r="D167" s="401" t="s">
        <v>409</v>
      </c>
      <c r="E167" s="408">
        <f>'Media rights marketplace'!B93</f>
        <v>11</v>
      </c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352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399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352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399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352"/>
    </row>
    <row r="168" spans="1:64" ht="17" x14ac:dyDescent="0.25">
      <c r="A168" s="609"/>
      <c r="B168" s="607"/>
      <c r="C168" s="373" t="s">
        <v>498</v>
      </c>
      <c r="D168" s="402" t="str">
        <f>D167</f>
        <v>N° of months before breakeven</v>
      </c>
      <c r="E168" s="409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352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399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352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399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352"/>
    </row>
    <row r="169" spans="1:64" x14ac:dyDescent="0.25">
      <c r="A169" s="609"/>
      <c r="B169" s="607"/>
      <c r="C169" s="370" t="s">
        <v>507</v>
      </c>
      <c r="D169" s="403" t="s">
        <v>499</v>
      </c>
      <c r="E169" s="410">
        <f>E168-E167</f>
        <v>-11</v>
      </c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352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399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352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399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352"/>
    </row>
    <row r="170" spans="1:64" ht="17" x14ac:dyDescent="0.25">
      <c r="A170" s="609"/>
      <c r="B170" s="607"/>
      <c r="C170" s="372" t="s">
        <v>497</v>
      </c>
      <c r="D170" s="402" t="s">
        <v>523</v>
      </c>
      <c r="E170" s="394" t="e">
        <f>HLOOKUP(E$2,'Media rights marketplace'!$B$65:$BD$66,2)</f>
        <v>#N/A</v>
      </c>
      <c r="F170" s="327" t="e">
        <f>HLOOKUP(F$2,'Media rights marketplace'!$B$65:$BD$66,2)</f>
        <v>#N/A</v>
      </c>
      <c r="G170" s="327" t="e">
        <f>HLOOKUP(G$2,'Media rights marketplace'!$B$65:$BD$66,2)</f>
        <v>#N/A</v>
      </c>
      <c r="H170" s="327" t="e">
        <f>HLOOKUP(H$2,'Media rights marketplace'!$B$65:$BD$66,2)</f>
        <v>#N/A</v>
      </c>
      <c r="I170" s="327" t="e">
        <f>HLOOKUP(I$2,'Media rights marketplace'!$B$65:$BD$66,2)</f>
        <v>#N/A</v>
      </c>
      <c r="J170" s="327" t="e">
        <f>HLOOKUP(J$2,'Media rights marketplace'!$B$65:$BD$66,2)</f>
        <v>#N/A</v>
      </c>
      <c r="K170" s="327" t="e">
        <f>HLOOKUP(K$2,'Media rights marketplace'!$B$65:$BD$66,2)</f>
        <v>#N/A</v>
      </c>
      <c r="L170" s="327" t="e">
        <f>HLOOKUP(L$2,'Media rights marketplace'!$B$65:$BD$66,2)</f>
        <v>#N/A</v>
      </c>
      <c r="M170" s="327" t="e">
        <f>HLOOKUP(M$2,'Media rights marketplace'!$B$65:$BD$66,2)</f>
        <v>#N/A</v>
      </c>
      <c r="N170" s="327" t="e">
        <f>HLOOKUP(N$2,'Media rights marketplace'!$B$65:$BD$66,2)</f>
        <v>#N/A</v>
      </c>
      <c r="O170" s="327" t="e">
        <f>HLOOKUP(O$2,'Media rights marketplace'!$B$65:$BD$66,2)</f>
        <v>#N/A</v>
      </c>
      <c r="P170" s="334" t="e">
        <f>HLOOKUP(P$2,'Media rights marketplace'!$B$65:$BD$66,2)</f>
        <v>#N/A</v>
      </c>
      <c r="Q170" s="327" t="e">
        <f>HLOOKUP(Q$2,'Media rights marketplace'!$B$65:$BD$66,2)</f>
        <v>#N/A</v>
      </c>
      <c r="R170" s="327" t="e">
        <f>HLOOKUP(R$2,'Media rights marketplace'!$B$65:$BD$66,2)</f>
        <v>#N/A</v>
      </c>
      <c r="S170" s="327" t="e">
        <f>HLOOKUP(S$2,'Media rights marketplace'!$B$65:$BD$66,2)</f>
        <v>#N/A</v>
      </c>
      <c r="T170" s="327" t="e">
        <f>HLOOKUP(T$2,'Media rights marketplace'!$B$65:$BD$66,2)</f>
        <v>#N/A</v>
      </c>
      <c r="U170" s="327" t="e">
        <f>HLOOKUP(U$2,'Media rights marketplace'!$B$65:$BD$66,2)</f>
        <v>#N/A</v>
      </c>
      <c r="V170" s="327" t="e">
        <f>HLOOKUP(V$2,'Media rights marketplace'!$B$65:$BD$66,2)</f>
        <v>#N/A</v>
      </c>
      <c r="W170" s="327" t="e">
        <f>HLOOKUP(W$2,'Media rights marketplace'!$B$65:$BD$66,2)</f>
        <v>#N/A</v>
      </c>
      <c r="X170" s="327" t="e">
        <f>HLOOKUP(X$2,'Media rights marketplace'!$B$65:$BD$66,2)</f>
        <v>#N/A</v>
      </c>
      <c r="Y170" s="327" t="e">
        <f>HLOOKUP(Y$2,'Media rights marketplace'!$B$65:$BD$66,2)</f>
        <v>#N/A</v>
      </c>
      <c r="Z170" s="327" t="e">
        <f>HLOOKUP(Z$2,'Media rights marketplace'!$B$65:$BD$66,2)</f>
        <v>#N/A</v>
      </c>
      <c r="AA170" s="327" t="e">
        <f>HLOOKUP(AA$2,'Media rights marketplace'!$B$65:$BD$66,2)</f>
        <v>#N/A</v>
      </c>
      <c r="AB170" s="327" t="e">
        <f>HLOOKUP(AB$2,'Media rights marketplace'!$B$65:$BD$66,2)</f>
        <v>#N/A</v>
      </c>
      <c r="AC170" s="429" t="e">
        <f>HLOOKUP(AC$2,'Media rights marketplace'!$B$65:$BD$66,2)</f>
        <v>#N/A</v>
      </c>
      <c r="AD170" s="327">
        <f>HLOOKUP(AD$2,'Media rights marketplace'!$B$65:$BD$66,2)</f>
        <v>0</v>
      </c>
      <c r="AE170" s="327">
        <f>HLOOKUP(AE$2,'Media rights marketplace'!$B$65:$BD$66,2)</f>
        <v>0</v>
      </c>
      <c r="AF170" s="327">
        <f>HLOOKUP(AF$2,'Media rights marketplace'!$B$65:$BD$66,2)</f>
        <v>0</v>
      </c>
      <c r="AG170" s="327">
        <f>HLOOKUP(AG$2,'Media rights marketplace'!$B$65:$BD$66,2)</f>
        <v>0</v>
      </c>
      <c r="AH170" s="327">
        <f>HLOOKUP(AH$2,'Media rights marketplace'!$B$65:$BD$66,2)</f>
        <v>0</v>
      </c>
      <c r="AI170" s="327">
        <f>HLOOKUP(AI$2,'Media rights marketplace'!$B$65:$BD$66,2)</f>
        <v>0</v>
      </c>
      <c r="AJ170" s="327">
        <f>HLOOKUP(AJ$2,'Media rights marketplace'!$B$65:$BD$66,2)</f>
        <v>0</v>
      </c>
      <c r="AK170" s="327">
        <f>HLOOKUP(AK$2,'Media rights marketplace'!$B$65:$BD$66,2)</f>
        <v>0</v>
      </c>
      <c r="AL170" s="327">
        <f>HLOOKUP(AL$2,'Media rights marketplace'!$B$65:$BD$66,2)</f>
        <v>67.571903803066121</v>
      </c>
      <c r="AM170" s="327">
        <f>HLOOKUP(AM$2,'Media rights marketplace'!$B$65:$BD$66,2)</f>
        <v>72.207675041559469</v>
      </c>
      <c r="AN170" s="334">
        <f>HLOOKUP(AN$2,'Media rights marketplace'!$B$65:$BD$66,2)</f>
        <v>76.885556568231905</v>
      </c>
      <c r="AO170" s="327">
        <f>HLOOKUP(AO$2,'Media rights marketplace'!$B$65:$BD$66,2)</f>
        <v>81.608748881136009</v>
      </c>
      <c r="AP170" s="327">
        <f>HLOOKUP(AP$2,'Media rights marketplace'!$B$65:$BD$66,2)</f>
        <v>88.468682819791582</v>
      </c>
      <c r="AQ170" s="327">
        <f>HLOOKUP(AQ$2,'Media rights marketplace'!$B$65:$BD$66,2)</f>
        <v>95.392227593361383</v>
      </c>
      <c r="AR170" s="327">
        <f>HLOOKUP(AR$2,'Media rights marketplace'!$B$65:$BD$66,2)</f>
        <v>102.3842507593212</v>
      </c>
      <c r="AS170" s="327">
        <f>HLOOKUP(AS$2,'Media rights marketplace'!$B$65:$BD$66,2)</f>
        <v>109.45035000876814</v>
      </c>
      <c r="AT170" s="327">
        <f>HLOOKUP(AT$2,'Media rights marketplace'!$B$65:$BD$66,2)</f>
        <v>116.59696268646385</v>
      </c>
      <c r="AU170" s="327">
        <f>HLOOKUP(AU$2,'Media rights marketplace'!$B$65:$BD$66,2)</f>
        <v>123.83149173888415</v>
      </c>
      <c r="AV170" s="327">
        <f>HLOOKUP(AV$2,'Media rights marketplace'!$B$65:$BD$66,2)</f>
        <v>131.16245055447658</v>
      </c>
      <c r="AW170" s="327">
        <f>HLOOKUP(AW$2,'Media rights marketplace'!$B$65:$BD$66,2)</f>
        <v>138.59962952995534</v>
      </c>
      <c r="AX170" s="327">
        <f>HLOOKUP(AX$2,'Media rights marketplace'!$B$65:$BD$66,2)</f>
        <v>146.15428762154201</v>
      </c>
      <c r="AY170" s="327">
        <f>HLOOKUP(AY$2,'Media rights marketplace'!$B$65:$BD$66,2)</f>
        <v>153.83937262889137</v>
      </c>
      <c r="AZ170" s="327">
        <f>HLOOKUP(AZ$2,'Media rights marketplace'!$B$65:$BD$66,2)</f>
        <v>161.66977452160651</v>
      </c>
      <c r="BA170" s="429">
        <f>HLOOKUP(BA$2,'Media rights marketplace'!$B$65:$BD$66,2)</f>
        <v>169.66261676473081</v>
      </c>
      <c r="BB170" s="327">
        <f>HLOOKUP(BB$2,'Media rights marketplace'!$B$65:$BD$66,2)</f>
        <v>179.0902415031199</v>
      </c>
      <c r="BC170" s="327">
        <f>HLOOKUP(BC$2,'Media rights marketplace'!$B$65:$BD$66,2)</f>
        <v>188.72887644958664</v>
      </c>
      <c r="BD170" s="327">
        <f>HLOOKUP(BD$2,'Media rights marketplace'!$B$65:$BD$66,2)</f>
        <v>198.60456425402899</v>
      </c>
      <c r="BE170" s="327">
        <f>HLOOKUP(BE$2,'Media rights marketplace'!$B$65:$BD$66,2)</f>
        <v>208.74763293685513</v>
      </c>
      <c r="BF170" s="327">
        <f>HLOOKUP(BF$2,'Media rights marketplace'!$B$65:$BD$66,2)</f>
        <v>219.19220366092142</v>
      </c>
      <c r="BG170" s="327">
        <f>HLOOKUP(BG$2,'Media rights marketplace'!$B$65:$BD$66,2)</f>
        <v>229.97789285110008</v>
      </c>
      <c r="BH170" s="327">
        <f>HLOOKUP(BH$2,'Media rights marketplace'!$B$65:$BD$66,2)</f>
        <v>241.15025939599448</v>
      </c>
      <c r="BI170" s="327">
        <f>HLOOKUP(BI$2,'Media rights marketplace'!$B$65:$BD$66,2)</f>
        <v>252.76169601749817</v>
      </c>
      <c r="BJ170" s="327">
        <f>HLOOKUP(BJ$2,'Media rights marketplace'!$B$65:$BD$66,2)</f>
        <v>264.87245434578892</v>
      </c>
      <c r="BK170" s="327">
        <f>HLOOKUP(BK$2,'Media rights marketplace'!$B$65:$BD$66,2)</f>
        <v>277.55182375557098</v>
      </c>
      <c r="BL170" s="334">
        <f>HLOOKUP(BL$2,'Media rights marketplace'!$B$65:$BD$66,2)</f>
        <v>290.87948702775458</v>
      </c>
    </row>
    <row r="171" spans="1:64" ht="17" x14ac:dyDescent="0.25">
      <c r="A171" s="609"/>
      <c r="B171" s="607"/>
      <c r="C171" s="343" t="s">
        <v>498</v>
      </c>
      <c r="D171" s="402" t="s">
        <v>523</v>
      </c>
      <c r="E171" s="39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6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9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356"/>
      <c r="AO171" s="355"/>
      <c r="AP171" s="355"/>
      <c r="AQ171" s="355"/>
      <c r="AR171" s="355"/>
      <c r="AS171" s="355"/>
      <c r="AT171" s="355"/>
      <c r="AU171" s="355"/>
      <c r="AV171" s="355"/>
      <c r="AW171" s="355"/>
      <c r="AX171" s="355"/>
      <c r="AY171" s="355"/>
      <c r="AZ171" s="355"/>
      <c r="BA171" s="395"/>
      <c r="BB171" s="355"/>
      <c r="BC171" s="355"/>
      <c r="BD171" s="355"/>
      <c r="BE171" s="355"/>
      <c r="BF171" s="355"/>
      <c r="BG171" s="355"/>
      <c r="BH171" s="355"/>
      <c r="BI171" s="355"/>
      <c r="BJ171" s="355"/>
      <c r="BK171" s="355"/>
      <c r="BL171" s="356"/>
    </row>
    <row r="172" spans="1:64" x14ac:dyDescent="0.25">
      <c r="A172" s="609"/>
      <c r="B172" s="607"/>
      <c r="C172" s="325" t="s">
        <v>507</v>
      </c>
      <c r="D172" s="402" t="s">
        <v>499</v>
      </c>
      <c r="E172" s="385">
        <f t="shared" ref="E172:AJ172" si="1084">(E171-E169)/E169</f>
        <v>-1</v>
      </c>
      <c r="F172" s="326" t="e">
        <f t="shared" si="1084"/>
        <v>#DIV/0!</v>
      </c>
      <c r="G172" s="326" t="e">
        <f t="shared" si="1084"/>
        <v>#DIV/0!</v>
      </c>
      <c r="H172" s="326" t="e">
        <f t="shared" si="1084"/>
        <v>#DIV/0!</v>
      </c>
      <c r="I172" s="326" t="e">
        <f t="shared" si="1084"/>
        <v>#DIV/0!</v>
      </c>
      <c r="J172" s="326" t="e">
        <f t="shared" si="1084"/>
        <v>#DIV/0!</v>
      </c>
      <c r="K172" s="326" t="e">
        <f t="shared" si="1084"/>
        <v>#DIV/0!</v>
      </c>
      <c r="L172" s="326" t="e">
        <f t="shared" si="1084"/>
        <v>#DIV/0!</v>
      </c>
      <c r="M172" s="326" t="e">
        <f t="shared" si="1084"/>
        <v>#DIV/0!</v>
      </c>
      <c r="N172" s="326" t="e">
        <f t="shared" si="1084"/>
        <v>#DIV/0!</v>
      </c>
      <c r="O172" s="326" t="e">
        <f t="shared" si="1084"/>
        <v>#DIV/0!</v>
      </c>
      <c r="P172" s="333" t="e">
        <f t="shared" si="1084"/>
        <v>#DIV/0!</v>
      </c>
      <c r="Q172" s="326" t="e">
        <f t="shared" si="1084"/>
        <v>#DIV/0!</v>
      </c>
      <c r="R172" s="326" t="e">
        <f t="shared" si="1084"/>
        <v>#DIV/0!</v>
      </c>
      <c r="S172" s="326" t="e">
        <f t="shared" si="1084"/>
        <v>#DIV/0!</v>
      </c>
      <c r="T172" s="326" t="e">
        <f t="shared" si="1084"/>
        <v>#DIV/0!</v>
      </c>
      <c r="U172" s="326" t="e">
        <f t="shared" si="1084"/>
        <v>#DIV/0!</v>
      </c>
      <c r="V172" s="326" t="e">
        <f t="shared" si="1084"/>
        <v>#DIV/0!</v>
      </c>
      <c r="W172" s="326" t="e">
        <f t="shared" si="1084"/>
        <v>#DIV/0!</v>
      </c>
      <c r="X172" s="326" t="e">
        <f t="shared" si="1084"/>
        <v>#DIV/0!</v>
      </c>
      <c r="Y172" s="326" t="e">
        <f t="shared" si="1084"/>
        <v>#DIV/0!</v>
      </c>
      <c r="Z172" s="326" t="e">
        <f t="shared" si="1084"/>
        <v>#DIV/0!</v>
      </c>
      <c r="AA172" s="326" t="e">
        <f t="shared" si="1084"/>
        <v>#DIV/0!</v>
      </c>
      <c r="AB172" s="326" t="e">
        <f t="shared" si="1084"/>
        <v>#DIV/0!</v>
      </c>
      <c r="AC172" s="385" t="e">
        <f t="shared" si="1084"/>
        <v>#DIV/0!</v>
      </c>
      <c r="AD172" s="326" t="e">
        <f t="shared" si="1084"/>
        <v>#DIV/0!</v>
      </c>
      <c r="AE172" s="326" t="e">
        <f t="shared" si="1084"/>
        <v>#DIV/0!</v>
      </c>
      <c r="AF172" s="326" t="e">
        <f t="shared" si="1084"/>
        <v>#DIV/0!</v>
      </c>
      <c r="AG172" s="326" t="e">
        <f t="shared" si="1084"/>
        <v>#DIV/0!</v>
      </c>
      <c r="AH172" s="326" t="e">
        <f t="shared" si="1084"/>
        <v>#DIV/0!</v>
      </c>
      <c r="AI172" s="326" t="e">
        <f t="shared" si="1084"/>
        <v>#DIV/0!</v>
      </c>
      <c r="AJ172" s="326" t="e">
        <f t="shared" si="1084"/>
        <v>#DIV/0!</v>
      </c>
      <c r="AK172" s="326" t="e">
        <f t="shared" ref="AK172:BL172" si="1085">(AK171-AK169)/AK169</f>
        <v>#DIV/0!</v>
      </c>
      <c r="AL172" s="326" t="e">
        <f t="shared" si="1085"/>
        <v>#DIV/0!</v>
      </c>
      <c r="AM172" s="326" t="e">
        <f t="shared" si="1085"/>
        <v>#DIV/0!</v>
      </c>
      <c r="AN172" s="333" t="e">
        <f t="shared" si="1085"/>
        <v>#DIV/0!</v>
      </c>
      <c r="AO172" s="326" t="e">
        <f t="shared" si="1085"/>
        <v>#DIV/0!</v>
      </c>
      <c r="AP172" s="326" t="e">
        <f t="shared" si="1085"/>
        <v>#DIV/0!</v>
      </c>
      <c r="AQ172" s="326" t="e">
        <f t="shared" si="1085"/>
        <v>#DIV/0!</v>
      </c>
      <c r="AR172" s="326" t="e">
        <f t="shared" si="1085"/>
        <v>#DIV/0!</v>
      </c>
      <c r="AS172" s="326" t="e">
        <f t="shared" si="1085"/>
        <v>#DIV/0!</v>
      </c>
      <c r="AT172" s="326" t="e">
        <f t="shared" si="1085"/>
        <v>#DIV/0!</v>
      </c>
      <c r="AU172" s="326" t="e">
        <f t="shared" si="1085"/>
        <v>#DIV/0!</v>
      </c>
      <c r="AV172" s="326" t="e">
        <f t="shared" si="1085"/>
        <v>#DIV/0!</v>
      </c>
      <c r="AW172" s="326" t="e">
        <f t="shared" si="1085"/>
        <v>#DIV/0!</v>
      </c>
      <c r="AX172" s="326" t="e">
        <f t="shared" si="1085"/>
        <v>#DIV/0!</v>
      </c>
      <c r="AY172" s="326" t="e">
        <f t="shared" si="1085"/>
        <v>#DIV/0!</v>
      </c>
      <c r="AZ172" s="326" t="e">
        <f t="shared" si="1085"/>
        <v>#DIV/0!</v>
      </c>
      <c r="BA172" s="385" t="e">
        <f t="shared" si="1085"/>
        <v>#DIV/0!</v>
      </c>
      <c r="BB172" s="326" t="e">
        <f t="shared" si="1085"/>
        <v>#DIV/0!</v>
      </c>
      <c r="BC172" s="326" t="e">
        <f t="shared" si="1085"/>
        <v>#DIV/0!</v>
      </c>
      <c r="BD172" s="326" t="e">
        <f t="shared" si="1085"/>
        <v>#DIV/0!</v>
      </c>
      <c r="BE172" s="326" t="e">
        <f t="shared" si="1085"/>
        <v>#DIV/0!</v>
      </c>
      <c r="BF172" s="326" t="e">
        <f t="shared" si="1085"/>
        <v>#DIV/0!</v>
      </c>
      <c r="BG172" s="326" t="e">
        <f t="shared" si="1085"/>
        <v>#DIV/0!</v>
      </c>
      <c r="BH172" s="326" t="e">
        <f t="shared" si="1085"/>
        <v>#DIV/0!</v>
      </c>
      <c r="BI172" s="326" t="e">
        <f t="shared" si="1085"/>
        <v>#DIV/0!</v>
      </c>
      <c r="BJ172" s="326" t="e">
        <f t="shared" si="1085"/>
        <v>#DIV/0!</v>
      </c>
      <c r="BK172" s="326" t="e">
        <f t="shared" si="1085"/>
        <v>#DIV/0!</v>
      </c>
      <c r="BL172" s="333" t="e">
        <f t="shared" si="1085"/>
        <v>#DIV/0!</v>
      </c>
    </row>
    <row r="173" spans="1:64" ht="17" x14ac:dyDescent="0.25">
      <c r="A173" s="609"/>
      <c r="B173" s="607"/>
      <c r="C173" s="372" t="s">
        <v>497</v>
      </c>
      <c r="D173" s="401" t="s">
        <v>514</v>
      </c>
      <c r="E173" s="396" t="e">
        <f>HLOOKUP(E$2,'Media rights marketplace'!$B$65:$BD$67,3)</f>
        <v>#N/A</v>
      </c>
      <c r="F173" s="374" t="e">
        <f>HLOOKUP(F$2,'Media rights marketplace'!$B$65:$BD$67,3)</f>
        <v>#N/A</v>
      </c>
      <c r="G173" s="374" t="e">
        <f>HLOOKUP(G$2,'Media rights marketplace'!$B$65:$BD$67,3)</f>
        <v>#N/A</v>
      </c>
      <c r="H173" s="374" t="e">
        <f>HLOOKUP(H$2,'Media rights marketplace'!$B$65:$BD$67,3)</f>
        <v>#N/A</v>
      </c>
      <c r="I173" s="374" t="e">
        <f>HLOOKUP(I$2,'Media rights marketplace'!$B$65:$BD$67,3)</f>
        <v>#N/A</v>
      </c>
      <c r="J173" s="374" t="e">
        <f>HLOOKUP(J$2,'Media rights marketplace'!$B$65:$BD$67,3)</f>
        <v>#N/A</v>
      </c>
      <c r="K173" s="374" t="e">
        <f>HLOOKUP(K$2,'Media rights marketplace'!$B$65:$BD$67,3)</f>
        <v>#N/A</v>
      </c>
      <c r="L173" s="374" t="e">
        <f>HLOOKUP(L$2,'Media rights marketplace'!$B$65:$BD$67,3)</f>
        <v>#N/A</v>
      </c>
      <c r="M173" s="374" t="e">
        <f>HLOOKUP(M$2,'Media rights marketplace'!$B$65:$BD$67,3)</f>
        <v>#N/A</v>
      </c>
      <c r="N173" s="374" t="e">
        <f>HLOOKUP(N$2,'Media rights marketplace'!$B$65:$BD$67,3)</f>
        <v>#N/A</v>
      </c>
      <c r="O173" s="374" t="e">
        <f>HLOOKUP(O$2,'Media rights marketplace'!$B$65:$BD$67,3)</f>
        <v>#N/A</v>
      </c>
      <c r="P173" s="397" t="e">
        <f>HLOOKUP(P$2,'Media rights marketplace'!$B$65:$BD$67,3)</f>
        <v>#N/A</v>
      </c>
      <c r="Q173" s="374" t="e">
        <f>HLOOKUP(Q$2,'Media rights marketplace'!$B$65:$BD$67,3)</f>
        <v>#N/A</v>
      </c>
      <c r="R173" s="374" t="e">
        <f>HLOOKUP(R$2,'Media rights marketplace'!$B$65:$BD$67,3)</f>
        <v>#N/A</v>
      </c>
      <c r="S173" s="374" t="e">
        <f>HLOOKUP(S$2,'Media rights marketplace'!$B$65:$BD$67,3)</f>
        <v>#N/A</v>
      </c>
      <c r="T173" s="374" t="e">
        <f>HLOOKUP(T$2,'Media rights marketplace'!$B$65:$BD$67,3)</f>
        <v>#N/A</v>
      </c>
      <c r="U173" s="374" t="e">
        <f>HLOOKUP(U$2,'Media rights marketplace'!$B$65:$BD$67,3)</f>
        <v>#N/A</v>
      </c>
      <c r="V173" s="374" t="e">
        <f>HLOOKUP(V$2,'Media rights marketplace'!$B$65:$BD$67,3)</f>
        <v>#N/A</v>
      </c>
      <c r="W173" s="374" t="e">
        <f>HLOOKUP(W$2,'Media rights marketplace'!$B$65:$BD$67,3)</f>
        <v>#N/A</v>
      </c>
      <c r="X173" s="374" t="e">
        <f>HLOOKUP(X$2,'Media rights marketplace'!$B$65:$BD$67,3)</f>
        <v>#N/A</v>
      </c>
      <c r="Y173" s="374" t="e">
        <f>HLOOKUP(Y$2,'Media rights marketplace'!$B$65:$BD$67,3)</f>
        <v>#N/A</v>
      </c>
      <c r="Z173" s="374" t="e">
        <f>HLOOKUP(Z$2,'Media rights marketplace'!$B$65:$BD$67,3)</f>
        <v>#N/A</v>
      </c>
      <c r="AA173" s="374" t="e">
        <f>HLOOKUP(AA$2,'Media rights marketplace'!$B$65:$BD$67,3)</f>
        <v>#N/A</v>
      </c>
      <c r="AB173" s="374" t="e">
        <f>HLOOKUP(AB$2,'Media rights marketplace'!$B$65:$BD$67,3)</f>
        <v>#N/A</v>
      </c>
      <c r="AC173" s="396" t="e">
        <f>HLOOKUP(AC$2,'Media rights marketplace'!$B$65:$BD$67,3)</f>
        <v>#N/A</v>
      </c>
      <c r="AD173" s="374">
        <f>HLOOKUP(AD$2,'Media rights marketplace'!$B$65:$BD$67,3)</f>
        <v>0</v>
      </c>
      <c r="AE173" s="374">
        <f>HLOOKUP(AE$2,'Media rights marketplace'!$B$65:$BD$67,3)</f>
        <v>0</v>
      </c>
      <c r="AF173" s="374">
        <f>HLOOKUP(AF$2,'Media rights marketplace'!$B$65:$BD$67,3)</f>
        <v>0</v>
      </c>
      <c r="AG173" s="374">
        <f>HLOOKUP(AG$2,'Media rights marketplace'!$B$65:$BD$67,3)</f>
        <v>0</v>
      </c>
      <c r="AH173" s="374">
        <f>HLOOKUP(AH$2,'Media rights marketplace'!$B$65:$BD$67,3)</f>
        <v>0</v>
      </c>
      <c r="AI173" s="374">
        <f>HLOOKUP(AI$2,'Media rights marketplace'!$B$65:$BD$67,3)</f>
        <v>0</v>
      </c>
      <c r="AJ173" s="374">
        <f>HLOOKUP(AJ$2,'Media rights marketplace'!$B$65:$BD$67,3)</f>
        <v>0</v>
      </c>
      <c r="AK173" s="374">
        <f>HLOOKUP(AK$2,'Media rights marketplace'!$B$65:$BD$67,3)</f>
        <v>0</v>
      </c>
      <c r="AL173" s="374">
        <f>HLOOKUP(AL$2,'Media rights marketplace'!$B$65:$BD$67,3)</f>
        <v>92961.346948005157</v>
      </c>
      <c r="AM173" s="374">
        <f>HLOOKUP(AM$2,'Media rights marketplace'!$B$65:$BD$67,3)</f>
        <v>99338.961225814055</v>
      </c>
      <c r="AN173" s="397">
        <f>HLOOKUP(AN$2,'Media rights marketplace'!$B$65:$BD$67,3)</f>
        <v>105774.50829653205</v>
      </c>
      <c r="AO173" s="374">
        <f>HLOOKUP(AO$2,'Media rights marketplace'!$B$65:$BD$67,3)</f>
        <v>112272.39121221373</v>
      </c>
      <c r="AP173" s="374">
        <f>HLOOKUP(AP$2,'Media rights marketplace'!$B$65:$BD$67,3)</f>
        <v>121709.87429350024</v>
      </c>
      <c r="AQ173" s="374">
        <f>HLOOKUP(AQ$2,'Media rights marketplace'!$B$65:$BD$67,3)</f>
        <v>131234.86932222793</v>
      </c>
      <c r="AR173" s="374">
        <f>HLOOKUP(AR$2,'Media rights marketplace'!$B$65:$BD$67,3)</f>
        <v>140854.0727901904</v>
      </c>
      <c r="AS173" s="374">
        <f>HLOOKUP(AS$2,'Media rights marketplace'!$B$65:$BD$67,3)</f>
        <v>150575.18566295024</v>
      </c>
      <c r="AT173" s="374">
        <f>HLOOKUP(AT$2,'Media rights marketplace'!$B$65:$BD$67,3)</f>
        <v>160407.06405090442</v>
      </c>
      <c r="AU173" s="374">
        <f>HLOOKUP(AU$2,'Media rights marketplace'!$B$65:$BD$67,3)</f>
        <v>170359.89248100927</v>
      </c>
      <c r="AV173" s="374">
        <f>HLOOKUP(AV$2,'Media rights marketplace'!$B$65:$BD$67,3)</f>
        <v>180445.3831592651</v>
      </c>
      <c r="AW173" s="374">
        <f>HLOOKUP(AW$2,'Media rights marketplace'!$B$65:$BD$67,3)</f>
        <v>190677.00512257166</v>
      </c>
      <c r="AX173" s="374">
        <f>HLOOKUP(AX$2,'Media rights marketplace'!$B$65:$BD$67,3)</f>
        <v>201070.24776336396</v>
      </c>
      <c r="AY173" s="374">
        <f>HLOOKUP(AY$2,'Media rights marketplace'!$B$65:$BD$67,3)</f>
        <v>211642.92388294227</v>
      </c>
      <c r="AZ173" s="374">
        <f>HLOOKUP(AZ$2,'Media rights marketplace'!$B$65:$BD$67,3)</f>
        <v>222415.51820280185</v>
      </c>
      <c r="BA173" s="396">
        <f>HLOOKUP(BA$2,'Media rights marketplace'!$B$65:$BD$67,3)</f>
        <v>233411.58815266221</v>
      </c>
      <c r="BB173" s="374">
        <f>HLOOKUP(BB$2,'Media rights marketplace'!$B$65:$BD$67,3)</f>
        <v>246381.54526316791</v>
      </c>
      <c r="BC173" s="374">
        <f>HLOOKUP(BC$2,'Media rights marketplace'!$B$65:$BD$67,3)</f>
        <v>259641.79748241947</v>
      </c>
      <c r="BD173" s="374">
        <f>HLOOKUP(BD$2,'Media rights marketplace'!$B$65:$BD$67,3)</f>
        <v>273228.17271634162</v>
      </c>
      <c r="BE173" s="374">
        <f>HLOOKUP(BE$2,'Media rights marketplace'!$B$65:$BD$67,3)</f>
        <v>287182.39442496339</v>
      </c>
      <c r="BF173" s="374">
        <f>HLOOKUP(BF$2,'Media rights marketplace'!$B$65:$BD$67,3)</f>
        <v>301551.40444475872</v>
      </c>
      <c r="BG173" s="374">
        <f>HLOOKUP(BG$2,'Media rights marketplace'!$B$65:$BD$67,3)</f>
        <v>316389.70466201636</v>
      </c>
      <c r="BH173" s="374">
        <f>HLOOKUP(BH$2,'Media rights marketplace'!$B$65:$BD$67,3)</f>
        <v>331759.9722459687</v>
      </c>
      <c r="BI173" s="374">
        <f>HLOOKUP(BI$2,'Media rights marketplace'!$B$65:$BD$67,3)</f>
        <v>347734.28594123269</v>
      </c>
      <c r="BJ173" s="374">
        <f>HLOOKUP(BJ$2,'Media rights marketplace'!$B$65:$BD$67,3)</f>
        <v>364395.53630411788</v>
      </c>
      <c r="BK173" s="374">
        <f>HLOOKUP(BK$2,'Media rights marketplace'!$B$65:$BD$67,3)</f>
        <v>381839.04747438023</v>
      </c>
      <c r="BL173" s="397">
        <f>HLOOKUP(BL$2,'Media rights marketplace'!$B$65:$BD$67,3)</f>
        <v>400174.44221273926</v>
      </c>
    </row>
    <row r="174" spans="1:64" ht="17" x14ac:dyDescent="0.25">
      <c r="A174" s="609"/>
      <c r="B174" s="607"/>
      <c r="C174" s="373" t="s">
        <v>498</v>
      </c>
      <c r="D174" s="402" t="s">
        <v>514</v>
      </c>
      <c r="E174" s="388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88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5"/>
      <c r="AO174" s="344"/>
      <c r="AP174" s="344"/>
      <c r="AQ174" s="344"/>
      <c r="AR174" s="344"/>
      <c r="AS174" s="344"/>
      <c r="AT174" s="344"/>
      <c r="AU174" s="344"/>
      <c r="AV174" s="344"/>
      <c r="AW174" s="344"/>
      <c r="AX174" s="344"/>
      <c r="AY174" s="344"/>
      <c r="AZ174" s="344"/>
      <c r="BA174" s="388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45"/>
    </row>
    <row r="175" spans="1:64" x14ac:dyDescent="0.25">
      <c r="A175" s="609"/>
      <c r="B175" s="607"/>
      <c r="C175" s="370" t="s">
        <v>507</v>
      </c>
      <c r="D175" s="403" t="s">
        <v>499</v>
      </c>
      <c r="E175" s="382" t="e">
        <f>(E174-E173)/E173</f>
        <v>#N/A</v>
      </c>
      <c r="F175" s="371" t="e">
        <f t="shared" ref="F175" si="1086">(F174-F173)/F173</f>
        <v>#N/A</v>
      </c>
      <c r="G175" s="371" t="e">
        <f t="shared" ref="G175" si="1087">(G174-G173)/G173</f>
        <v>#N/A</v>
      </c>
      <c r="H175" s="371" t="e">
        <f t="shared" ref="H175" si="1088">(H174-H173)/H173</f>
        <v>#N/A</v>
      </c>
      <c r="I175" s="371" t="e">
        <f t="shared" ref="I175" si="1089">(I174-I173)/I173</f>
        <v>#N/A</v>
      </c>
      <c r="J175" s="371" t="e">
        <f t="shared" ref="J175" si="1090">(J174-J173)/J173</f>
        <v>#N/A</v>
      </c>
      <c r="K175" s="371" t="e">
        <f t="shared" ref="K175" si="1091">(K174-K173)/K173</f>
        <v>#N/A</v>
      </c>
      <c r="L175" s="371" t="e">
        <f t="shared" ref="L175" si="1092">(L174-L173)/L173</f>
        <v>#N/A</v>
      </c>
      <c r="M175" s="371" t="e">
        <f t="shared" ref="M175" si="1093">(M174-M173)/M173</f>
        <v>#N/A</v>
      </c>
      <c r="N175" s="371" t="e">
        <f t="shared" ref="N175" si="1094">(N174-N173)/N173</f>
        <v>#N/A</v>
      </c>
      <c r="O175" s="371" t="e">
        <f t="shared" ref="O175" si="1095">(O174-O173)/O173</f>
        <v>#N/A</v>
      </c>
      <c r="P175" s="383" t="e">
        <f t="shared" ref="P175" si="1096">(P174-P173)/P173</f>
        <v>#N/A</v>
      </c>
      <c r="Q175" s="371" t="e">
        <f t="shared" ref="Q175" si="1097">(Q174-Q173)/Q173</f>
        <v>#N/A</v>
      </c>
      <c r="R175" s="371" t="e">
        <f t="shared" ref="R175" si="1098">(R174-R173)/R173</f>
        <v>#N/A</v>
      </c>
      <c r="S175" s="371" t="e">
        <f t="shared" ref="S175" si="1099">(S174-S173)/S173</f>
        <v>#N/A</v>
      </c>
      <c r="T175" s="371" t="e">
        <f t="shared" ref="T175" si="1100">(T174-T173)/T173</f>
        <v>#N/A</v>
      </c>
      <c r="U175" s="371" t="e">
        <f t="shared" ref="U175" si="1101">(U174-U173)/U173</f>
        <v>#N/A</v>
      </c>
      <c r="V175" s="371" t="e">
        <f t="shared" ref="V175" si="1102">(V174-V173)/V173</f>
        <v>#N/A</v>
      </c>
      <c r="W175" s="371" t="e">
        <f t="shared" ref="W175" si="1103">(W174-W173)/W173</f>
        <v>#N/A</v>
      </c>
      <c r="X175" s="371" t="e">
        <f t="shared" ref="X175" si="1104">(X174-X173)/X173</f>
        <v>#N/A</v>
      </c>
      <c r="Y175" s="371" t="e">
        <f t="shared" ref="Y175" si="1105">(Y174-Y173)/Y173</f>
        <v>#N/A</v>
      </c>
      <c r="Z175" s="371" t="e">
        <f t="shared" ref="Z175" si="1106">(Z174-Z173)/Z173</f>
        <v>#N/A</v>
      </c>
      <c r="AA175" s="371" t="e">
        <f t="shared" ref="AA175" si="1107">(AA174-AA173)/AA173</f>
        <v>#N/A</v>
      </c>
      <c r="AB175" s="371" t="e">
        <f t="shared" ref="AB175" si="1108">(AB174-AB173)/AB173</f>
        <v>#N/A</v>
      </c>
      <c r="AC175" s="382" t="e">
        <f t="shared" ref="AC175" si="1109">(AC174-AC173)/AC173</f>
        <v>#N/A</v>
      </c>
      <c r="AD175" s="371" t="e">
        <f t="shared" ref="AD175" si="1110">(AD174-AD173)/AD173</f>
        <v>#DIV/0!</v>
      </c>
      <c r="AE175" s="371" t="e">
        <f t="shared" ref="AE175" si="1111">(AE174-AE173)/AE173</f>
        <v>#DIV/0!</v>
      </c>
      <c r="AF175" s="371" t="e">
        <f t="shared" ref="AF175" si="1112">(AF174-AF173)/AF173</f>
        <v>#DIV/0!</v>
      </c>
      <c r="AG175" s="371" t="e">
        <f t="shared" ref="AG175" si="1113">(AG174-AG173)/AG173</f>
        <v>#DIV/0!</v>
      </c>
      <c r="AH175" s="371" t="e">
        <f t="shared" ref="AH175" si="1114">(AH174-AH173)/AH173</f>
        <v>#DIV/0!</v>
      </c>
      <c r="AI175" s="371" t="e">
        <f t="shared" ref="AI175" si="1115">(AI174-AI173)/AI173</f>
        <v>#DIV/0!</v>
      </c>
      <c r="AJ175" s="371" t="e">
        <f t="shared" ref="AJ175" si="1116">(AJ174-AJ173)/AJ173</f>
        <v>#DIV/0!</v>
      </c>
      <c r="AK175" s="371" t="e">
        <f t="shared" ref="AK175" si="1117">(AK174-AK173)/AK173</f>
        <v>#DIV/0!</v>
      </c>
      <c r="AL175" s="371">
        <f t="shared" ref="AL175" si="1118">(AL174-AL173)/AL173</f>
        <v>-1</v>
      </c>
      <c r="AM175" s="371">
        <f t="shared" ref="AM175" si="1119">(AM174-AM173)/AM173</f>
        <v>-1</v>
      </c>
      <c r="AN175" s="383">
        <f t="shared" ref="AN175" si="1120">(AN174-AN173)/AN173</f>
        <v>-1</v>
      </c>
      <c r="AO175" s="371">
        <f t="shared" ref="AO175" si="1121">(AO174-AO173)/AO173</f>
        <v>-1</v>
      </c>
      <c r="AP175" s="371">
        <f t="shared" ref="AP175" si="1122">(AP174-AP173)/AP173</f>
        <v>-1</v>
      </c>
      <c r="AQ175" s="371">
        <f t="shared" ref="AQ175" si="1123">(AQ174-AQ173)/AQ173</f>
        <v>-1</v>
      </c>
      <c r="AR175" s="371">
        <f t="shared" ref="AR175" si="1124">(AR174-AR173)/AR173</f>
        <v>-1</v>
      </c>
      <c r="AS175" s="371">
        <f t="shared" ref="AS175" si="1125">(AS174-AS173)/AS173</f>
        <v>-1</v>
      </c>
      <c r="AT175" s="371">
        <f t="shared" ref="AT175" si="1126">(AT174-AT173)/AT173</f>
        <v>-1</v>
      </c>
      <c r="AU175" s="371">
        <f t="shared" ref="AU175" si="1127">(AU174-AU173)/AU173</f>
        <v>-1</v>
      </c>
      <c r="AV175" s="371">
        <f t="shared" ref="AV175" si="1128">(AV174-AV173)/AV173</f>
        <v>-1</v>
      </c>
      <c r="AW175" s="371">
        <f t="shared" ref="AW175" si="1129">(AW174-AW173)/AW173</f>
        <v>-1</v>
      </c>
      <c r="AX175" s="371">
        <f t="shared" ref="AX175" si="1130">(AX174-AX173)/AX173</f>
        <v>-1</v>
      </c>
      <c r="AY175" s="371">
        <f t="shared" ref="AY175" si="1131">(AY174-AY173)/AY173</f>
        <v>-1</v>
      </c>
      <c r="AZ175" s="371">
        <f t="shared" ref="AZ175" si="1132">(AZ174-AZ173)/AZ173</f>
        <v>-1</v>
      </c>
      <c r="BA175" s="382">
        <f t="shared" ref="BA175" si="1133">(BA174-BA173)/BA173</f>
        <v>-1</v>
      </c>
      <c r="BB175" s="371">
        <f t="shared" ref="BB175" si="1134">(BB174-BB173)/BB173</f>
        <v>-1</v>
      </c>
      <c r="BC175" s="371">
        <f t="shared" ref="BC175" si="1135">(BC174-BC173)/BC173</f>
        <v>-1</v>
      </c>
      <c r="BD175" s="371">
        <f t="shared" ref="BD175" si="1136">(BD174-BD173)/BD173</f>
        <v>-1</v>
      </c>
      <c r="BE175" s="371">
        <f t="shared" ref="BE175" si="1137">(BE174-BE173)/BE173</f>
        <v>-1</v>
      </c>
      <c r="BF175" s="371">
        <f t="shared" ref="BF175" si="1138">(BF174-BF173)/BF173</f>
        <v>-1</v>
      </c>
      <c r="BG175" s="371">
        <f t="shared" ref="BG175" si="1139">(BG174-BG173)/BG173</f>
        <v>-1</v>
      </c>
      <c r="BH175" s="371">
        <f t="shared" ref="BH175" si="1140">(BH174-BH173)/BH173</f>
        <v>-1</v>
      </c>
      <c r="BI175" s="371">
        <f t="shared" ref="BI175" si="1141">(BI174-BI173)/BI173</f>
        <v>-1</v>
      </c>
      <c r="BJ175" s="371">
        <f t="shared" ref="BJ175" si="1142">(BJ174-BJ173)/BJ173</f>
        <v>-1</v>
      </c>
      <c r="BK175" s="371">
        <f t="shared" ref="BK175" si="1143">(BK174-BK173)/BK173</f>
        <v>-1</v>
      </c>
      <c r="BL175" s="383">
        <f t="shared" ref="BL175" si="1144">(BL174-BL173)/BL173</f>
        <v>-1</v>
      </c>
    </row>
    <row r="176" spans="1:64" ht="17" x14ac:dyDescent="0.25">
      <c r="A176" s="609"/>
      <c r="B176" s="607"/>
      <c r="C176" s="343" t="s">
        <v>497</v>
      </c>
      <c r="D176" s="402" t="s">
        <v>55</v>
      </c>
      <c r="E176" s="398" t="e">
        <f>HLOOKUP(E$2,'Media rights marketplace'!$B$71:$BD$77,7)</f>
        <v>#N/A</v>
      </c>
      <c r="F176" s="357" t="e">
        <f>HLOOKUP(F$2,'Media rights marketplace'!$B$71:$BD$77,7)</f>
        <v>#N/A</v>
      </c>
      <c r="G176" s="357" t="e">
        <f>HLOOKUP(G$2,'Media rights marketplace'!$B$71:$BD$77,7)</f>
        <v>#N/A</v>
      </c>
      <c r="H176" s="357" t="e">
        <f>HLOOKUP(H$2,'Media rights marketplace'!$B$71:$BD$77,7)</f>
        <v>#N/A</v>
      </c>
      <c r="I176" s="357" t="e">
        <f>HLOOKUP(I$2,'Media rights marketplace'!$B$71:$BD$77,7)</f>
        <v>#N/A</v>
      </c>
      <c r="J176" s="357" t="e">
        <f>HLOOKUP(J$2,'Media rights marketplace'!$B$71:$BD$77,7)</f>
        <v>#N/A</v>
      </c>
      <c r="K176" s="357" t="e">
        <f>HLOOKUP(K$2,'Media rights marketplace'!$B$71:$BD$77,7)</f>
        <v>#N/A</v>
      </c>
      <c r="L176" s="357" t="e">
        <f>HLOOKUP(L$2,'Media rights marketplace'!$B$71:$BD$77,7)</f>
        <v>#N/A</v>
      </c>
      <c r="M176" s="357" t="e">
        <f>HLOOKUP(M$2,'Media rights marketplace'!$B$71:$BD$77,7)</f>
        <v>#N/A</v>
      </c>
      <c r="N176" s="357" t="e">
        <f>HLOOKUP(N$2,'Media rights marketplace'!$B$71:$BD$77,7)</f>
        <v>#N/A</v>
      </c>
      <c r="O176" s="357" t="e">
        <f>HLOOKUP(O$2,'Media rights marketplace'!$B$71:$BD$77,7)</f>
        <v>#N/A</v>
      </c>
      <c r="P176" s="358" t="e">
        <f>HLOOKUP(P$2,'Media rights marketplace'!$B$71:$BD$77,7)</f>
        <v>#N/A</v>
      </c>
      <c r="Q176" s="357" t="e">
        <f>HLOOKUP(Q$2,'Media rights marketplace'!$B$71:$BD$77,7)</f>
        <v>#N/A</v>
      </c>
      <c r="R176" s="357" t="e">
        <f>HLOOKUP(R$2,'Media rights marketplace'!$B$71:$BD$77,7)</f>
        <v>#N/A</v>
      </c>
      <c r="S176" s="357" t="e">
        <f>HLOOKUP(S$2,'Media rights marketplace'!$B$71:$BD$77,7)</f>
        <v>#N/A</v>
      </c>
      <c r="T176" s="357" t="e">
        <f>HLOOKUP(T$2,'Media rights marketplace'!$B$71:$BD$77,7)</f>
        <v>#N/A</v>
      </c>
      <c r="U176" s="357" t="e">
        <f>HLOOKUP(U$2,'Media rights marketplace'!$B$71:$BD$77,7)</f>
        <v>#N/A</v>
      </c>
      <c r="V176" s="357" t="e">
        <f>HLOOKUP(V$2,'Media rights marketplace'!$B$71:$BD$77,7)</f>
        <v>#N/A</v>
      </c>
      <c r="W176" s="357" t="e">
        <f>HLOOKUP(W$2,'Media rights marketplace'!$B$71:$BD$77,7)</f>
        <v>#N/A</v>
      </c>
      <c r="X176" s="357" t="e">
        <f>HLOOKUP(X$2,'Media rights marketplace'!$B$71:$BD$77,7)</f>
        <v>#N/A</v>
      </c>
      <c r="Y176" s="357" t="e">
        <f>HLOOKUP(Y$2,'Media rights marketplace'!$B$71:$BD$77,7)</f>
        <v>#N/A</v>
      </c>
      <c r="Z176" s="357" t="e">
        <f>HLOOKUP(Z$2,'Media rights marketplace'!$B$71:$BD$77,7)</f>
        <v>#N/A</v>
      </c>
      <c r="AA176" s="357" t="e">
        <f>HLOOKUP(AA$2,'Media rights marketplace'!$B$71:$BD$77,7)</f>
        <v>#N/A</v>
      </c>
      <c r="AB176" s="357" t="e">
        <f>HLOOKUP(AB$2,'Media rights marketplace'!$B$71:$BD$77,7)</f>
        <v>#N/A</v>
      </c>
      <c r="AC176" s="398" t="e">
        <f>HLOOKUP(AC$2,'Media rights marketplace'!$B$71:$BD$77,7)</f>
        <v>#N/A</v>
      </c>
      <c r="AD176" s="357">
        <f>HLOOKUP(AD$2,'Media rights marketplace'!$B$71:$BD$77,7)</f>
        <v>28432</v>
      </c>
      <c r="AE176" s="357">
        <f>HLOOKUP(AE$2,'Media rights marketplace'!$B$71:$BD$77,7)</f>
        <v>28432</v>
      </c>
      <c r="AF176" s="357">
        <f>HLOOKUP(AF$2,'Media rights marketplace'!$B$71:$BD$77,7)</f>
        <v>28462</v>
      </c>
      <c r="AG176" s="357">
        <f>HLOOKUP(AG$2,'Media rights marketplace'!$B$71:$BD$77,7)</f>
        <v>28492.45</v>
      </c>
      <c r="AH176" s="357">
        <f>HLOOKUP(AH$2,'Media rights marketplace'!$B$71:$BD$77,7)</f>
        <v>28523.356749999999</v>
      </c>
      <c r="AI176" s="357">
        <f>HLOOKUP(AI$2,'Media rights marketplace'!$B$71:$BD$77,7)</f>
        <v>28554.727101249999</v>
      </c>
      <c r="AJ176" s="357">
        <f>HLOOKUP(AJ$2,'Media rights marketplace'!$B$71:$BD$77,7)</f>
        <v>13025.568007768748</v>
      </c>
      <c r="AK176" s="357">
        <f>HLOOKUP(AK$2,'Media rights marketplace'!$B$71:$BD$77,7)</f>
        <v>13057.886527885279</v>
      </c>
      <c r="AL176" s="357">
        <f>HLOOKUP(AL$2,'Media rights marketplace'!$B$71:$BD$77,7)</f>
        <v>63700.363299806137</v>
      </c>
      <c r="AM176" s="357">
        <f>HLOOKUP(AM$2,'Media rights marketplace'!$B$71:$BD$77,7)</f>
        <v>66922.465786097644</v>
      </c>
      <c r="AN176" s="358">
        <f>HLOOKUP(AN$2,'Media rights marketplace'!$B$71:$BD$77,7)</f>
        <v>70174.034099054494</v>
      </c>
      <c r="AO176" s="357">
        <f>HLOOKUP(AO$2,'Media rights marketplace'!$B$71:$BD$77,7)</f>
        <v>73457.277256157162</v>
      </c>
      <c r="AP176" s="357">
        <f>HLOOKUP(AP$2,'Media rights marketplace'!$B$71:$BD$77,7)</f>
        <v>78210.835021551175</v>
      </c>
      <c r="AQ176" s="357">
        <f>HLOOKUP(AQ$2,'Media rights marketplace'!$B$71:$BD$77,7)</f>
        <v>83008.671004037024</v>
      </c>
      <c r="AR176" s="357">
        <f>HLOOKUP(AR$2,'Media rights marketplace'!$B$71:$BD$77,7)</f>
        <v>87854.141283162113</v>
      </c>
      <c r="AS176" s="357">
        <f>HLOOKUP(AS$2,'Media rights marketplace'!$B$71:$BD$77,7)</f>
        <v>92751.104292863034</v>
      </c>
      <c r="AT176" s="357">
        <f>HLOOKUP(AT$2,'Media rights marketplace'!$B$71:$BD$77,7)</f>
        <v>97703.996158760943</v>
      </c>
      <c r="AU176" s="357">
        <f>HLOOKUP(AU$2,'Media rights marketplace'!$B$71:$BD$77,7)</f>
        <v>102717.91733581301</v>
      </c>
      <c r="AV176" s="357">
        <f>HLOOKUP(AV$2,'Media rights marketplace'!$B$71:$BD$77,7)</f>
        <v>107798.73224137054</v>
      </c>
      <c r="AW176" s="357">
        <f>HLOOKUP(AW$2,'Media rights marketplace'!$B$71:$BD$77,7)</f>
        <v>112953.18383294989</v>
      </c>
      <c r="AX176" s="357">
        <f>HLOOKUP(AX$2,'Media rights marketplace'!$B$71:$BD$77,7)</f>
        <v>118189.02537242101</v>
      </c>
      <c r="AY176" s="357">
        <f>HLOOKUP(AY$2,'Media rights marketplace'!$B$71:$BD$77,7)</f>
        <v>123515.17195457124</v>
      </c>
      <c r="AZ176" s="357">
        <f>HLOOKUP(AZ$2,'Media rights marketplace'!$B$71:$BD$77,7)</f>
        <v>128941.87476469754</v>
      </c>
      <c r="BA176" s="398">
        <f>HLOOKUP(BA$2,'Media rights marketplace'!$B$71:$BD$77,7)</f>
        <v>134480.92147457716</v>
      </c>
      <c r="BB176" s="357">
        <f>HLOOKUP(BB$2,'Media rights marketplace'!$B$71:$BD$77,7)</f>
        <v>141007.52694080371</v>
      </c>
      <c r="BC176" s="357">
        <f>HLOOKUP(BC$2,'Media rights marketplace'!$B$71:$BD$77,7)</f>
        <v>147679.90436506778</v>
      </c>
      <c r="BD176" s="357">
        <f>HLOOKUP(BD$2,'Media rights marketplace'!$B$71:$BD$77,7)</f>
        <v>154515.97706638672</v>
      </c>
      <c r="BE176" s="357">
        <f>HLOOKUP(BE$2,'Media rights marketplace'!$B$71:$BD$77,7)</f>
        <v>161536.61628132086</v>
      </c>
      <c r="BF176" s="357">
        <f>HLOOKUP(BF$2,'Media rights marketplace'!$B$71:$BD$77,7)</f>
        <v>168765.3025772511</v>
      </c>
      <c r="BG176" s="357">
        <f>HLOOKUP(BG$2,'Media rights marketplace'!$B$71:$BD$77,7)</f>
        <v>176229.296691203</v>
      </c>
      <c r="BH176" s="357">
        <f>HLOOKUP(BH$2,'Media rights marketplace'!$B$71:$BD$77,7)</f>
        <v>183959.94714858208</v>
      </c>
      <c r="BI176" s="357">
        <f>HLOOKUP(BI$2,'Media rights marketplace'!$B$71:$BD$77,7)</f>
        <v>191993.30341159806</v>
      </c>
      <c r="BJ176" s="357">
        <f>HLOOKUP(BJ$2,'Media rights marketplace'!$B$71:$BD$77,7)</f>
        <v>200370.82099965538</v>
      </c>
      <c r="BK176" s="357">
        <f>HLOOKUP(BK$2,'Media rights marketplace'!$B$71:$BD$77,7)</f>
        <v>209140.17237750048</v>
      </c>
      <c r="BL176" s="358">
        <f>HLOOKUP(BL$2,'Media rights marketplace'!$B$71:$BD$77,7)</f>
        <v>218356.17947628465</v>
      </c>
    </row>
    <row r="177" spans="1:65" ht="17" x14ac:dyDescent="0.25">
      <c r="A177" s="609"/>
      <c r="B177" s="607"/>
      <c r="C177" s="343" t="s">
        <v>498</v>
      </c>
      <c r="D177" s="402" t="s">
        <v>55</v>
      </c>
      <c r="E177" s="388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  <c r="AA177" s="344"/>
      <c r="AB177" s="344"/>
      <c r="AC177" s="388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5"/>
      <c r="AO177" s="344"/>
      <c r="AP177" s="344"/>
      <c r="AQ177" s="344"/>
      <c r="AR177" s="344"/>
      <c r="AS177" s="344"/>
      <c r="AT177" s="344"/>
      <c r="AU177" s="344"/>
      <c r="AV177" s="344"/>
      <c r="AW177" s="344"/>
      <c r="AX177" s="344"/>
      <c r="AY177" s="344"/>
      <c r="AZ177" s="344"/>
      <c r="BA177" s="388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45"/>
    </row>
    <row r="178" spans="1:65" x14ac:dyDescent="0.25">
      <c r="A178" s="609"/>
      <c r="B178" s="607"/>
      <c r="C178" s="325" t="s">
        <v>507</v>
      </c>
      <c r="D178" s="402" t="s">
        <v>499</v>
      </c>
      <c r="E178" s="385" t="e">
        <f>(E177-E176)/E176</f>
        <v>#N/A</v>
      </c>
      <c r="F178" s="326" t="e">
        <f t="shared" ref="F178" si="1145">(F177-F176)/F176</f>
        <v>#N/A</v>
      </c>
      <c r="G178" s="326" t="e">
        <f t="shared" ref="G178" si="1146">(G177-G176)/G176</f>
        <v>#N/A</v>
      </c>
      <c r="H178" s="326" t="e">
        <f t="shared" ref="H178" si="1147">(H177-H176)/H176</f>
        <v>#N/A</v>
      </c>
      <c r="I178" s="326" t="e">
        <f t="shared" ref="I178" si="1148">(I177-I176)/I176</f>
        <v>#N/A</v>
      </c>
      <c r="J178" s="326" t="e">
        <f t="shared" ref="J178" si="1149">(J177-J176)/J176</f>
        <v>#N/A</v>
      </c>
      <c r="K178" s="326" t="e">
        <f t="shared" ref="K178" si="1150">(K177-K176)/K176</f>
        <v>#N/A</v>
      </c>
      <c r="L178" s="326" t="e">
        <f t="shared" ref="L178" si="1151">(L177-L176)/L176</f>
        <v>#N/A</v>
      </c>
      <c r="M178" s="326" t="e">
        <f t="shared" ref="M178" si="1152">(M177-M176)/M176</f>
        <v>#N/A</v>
      </c>
      <c r="N178" s="326" t="e">
        <f t="shared" ref="N178" si="1153">(N177-N176)/N176</f>
        <v>#N/A</v>
      </c>
      <c r="O178" s="326" t="e">
        <f t="shared" ref="O178" si="1154">(O177-O176)/O176</f>
        <v>#N/A</v>
      </c>
      <c r="P178" s="333" t="e">
        <f t="shared" ref="P178" si="1155">(P177-P176)/P176</f>
        <v>#N/A</v>
      </c>
      <c r="Q178" s="326" t="e">
        <f t="shared" ref="Q178" si="1156">(Q177-Q176)/Q176</f>
        <v>#N/A</v>
      </c>
      <c r="R178" s="326" t="e">
        <f t="shared" ref="R178" si="1157">(R177-R176)/R176</f>
        <v>#N/A</v>
      </c>
      <c r="S178" s="326" t="e">
        <f t="shared" ref="S178" si="1158">(S177-S176)/S176</f>
        <v>#N/A</v>
      </c>
      <c r="T178" s="326" t="e">
        <f t="shared" ref="T178" si="1159">(T177-T176)/T176</f>
        <v>#N/A</v>
      </c>
      <c r="U178" s="326" t="e">
        <f t="shared" ref="U178" si="1160">(U177-U176)/U176</f>
        <v>#N/A</v>
      </c>
      <c r="V178" s="326" t="e">
        <f t="shared" ref="V178" si="1161">(V177-V176)/V176</f>
        <v>#N/A</v>
      </c>
      <c r="W178" s="326" t="e">
        <f t="shared" ref="W178" si="1162">(W177-W176)/W176</f>
        <v>#N/A</v>
      </c>
      <c r="X178" s="326" t="e">
        <f t="shared" ref="X178" si="1163">(X177-X176)/X176</f>
        <v>#N/A</v>
      </c>
      <c r="Y178" s="326" t="e">
        <f t="shared" ref="Y178" si="1164">(Y177-Y176)/Y176</f>
        <v>#N/A</v>
      </c>
      <c r="Z178" s="326" t="e">
        <f t="shared" ref="Z178" si="1165">(Z177-Z176)/Z176</f>
        <v>#N/A</v>
      </c>
      <c r="AA178" s="326" t="e">
        <f t="shared" ref="AA178" si="1166">(AA177-AA176)/AA176</f>
        <v>#N/A</v>
      </c>
      <c r="AB178" s="326" t="e">
        <f t="shared" ref="AB178" si="1167">(AB177-AB176)/AB176</f>
        <v>#N/A</v>
      </c>
      <c r="AC178" s="385" t="e">
        <f t="shared" ref="AC178" si="1168">(AC177-AC176)/AC176</f>
        <v>#N/A</v>
      </c>
      <c r="AD178" s="326">
        <f t="shared" ref="AD178" si="1169">(AD177-AD176)/AD176</f>
        <v>-1</v>
      </c>
      <c r="AE178" s="326">
        <f t="shared" ref="AE178" si="1170">(AE177-AE176)/AE176</f>
        <v>-1</v>
      </c>
      <c r="AF178" s="326">
        <f t="shared" ref="AF178" si="1171">(AF177-AF176)/AF176</f>
        <v>-1</v>
      </c>
      <c r="AG178" s="326">
        <f t="shared" ref="AG178" si="1172">(AG177-AG176)/AG176</f>
        <v>-1</v>
      </c>
      <c r="AH178" s="326">
        <f t="shared" ref="AH178" si="1173">(AH177-AH176)/AH176</f>
        <v>-1</v>
      </c>
      <c r="AI178" s="326">
        <f t="shared" ref="AI178" si="1174">(AI177-AI176)/AI176</f>
        <v>-1</v>
      </c>
      <c r="AJ178" s="326">
        <f t="shared" ref="AJ178" si="1175">(AJ177-AJ176)/AJ176</f>
        <v>-1</v>
      </c>
      <c r="AK178" s="326">
        <f t="shared" ref="AK178" si="1176">(AK177-AK176)/AK176</f>
        <v>-1</v>
      </c>
      <c r="AL178" s="326">
        <f t="shared" ref="AL178" si="1177">(AL177-AL176)/AL176</f>
        <v>-1</v>
      </c>
      <c r="AM178" s="326">
        <f t="shared" ref="AM178" si="1178">(AM177-AM176)/AM176</f>
        <v>-1</v>
      </c>
      <c r="AN178" s="333">
        <f t="shared" ref="AN178" si="1179">(AN177-AN176)/AN176</f>
        <v>-1</v>
      </c>
      <c r="AO178" s="326">
        <f t="shared" ref="AO178" si="1180">(AO177-AO176)/AO176</f>
        <v>-1</v>
      </c>
      <c r="AP178" s="326">
        <f t="shared" ref="AP178" si="1181">(AP177-AP176)/AP176</f>
        <v>-1</v>
      </c>
      <c r="AQ178" s="326">
        <f t="shared" ref="AQ178" si="1182">(AQ177-AQ176)/AQ176</f>
        <v>-1</v>
      </c>
      <c r="AR178" s="326">
        <f t="shared" ref="AR178" si="1183">(AR177-AR176)/AR176</f>
        <v>-1</v>
      </c>
      <c r="AS178" s="326">
        <f t="shared" ref="AS178" si="1184">(AS177-AS176)/AS176</f>
        <v>-1</v>
      </c>
      <c r="AT178" s="326">
        <f t="shared" ref="AT178" si="1185">(AT177-AT176)/AT176</f>
        <v>-1</v>
      </c>
      <c r="AU178" s="326">
        <f t="shared" ref="AU178" si="1186">(AU177-AU176)/AU176</f>
        <v>-1</v>
      </c>
      <c r="AV178" s="326">
        <f t="shared" ref="AV178" si="1187">(AV177-AV176)/AV176</f>
        <v>-1</v>
      </c>
      <c r="AW178" s="326">
        <f t="shared" ref="AW178" si="1188">(AW177-AW176)/AW176</f>
        <v>-1</v>
      </c>
      <c r="AX178" s="326">
        <f t="shared" ref="AX178" si="1189">(AX177-AX176)/AX176</f>
        <v>-1</v>
      </c>
      <c r="AY178" s="326">
        <f t="shared" ref="AY178" si="1190">(AY177-AY176)/AY176</f>
        <v>-1</v>
      </c>
      <c r="AZ178" s="326">
        <f t="shared" ref="AZ178" si="1191">(AZ177-AZ176)/AZ176</f>
        <v>-1</v>
      </c>
      <c r="BA178" s="385">
        <f t="shared" ref="BA178" si="1192">(BA177-BA176)/BA176</f>
        <v>-1</v>
      </c>
      <c r="BB178" s="326">
        <f t="shared" ref="BB178" si="1193">(BB177-BB176)/BB176</f>
        <v>-1</v>
      </c>
      <c r="BC178" s="326">
        <f t="shared" ref="BC178" si="1194">(BC177-BC176)/BC176</f>
        <v>-1</v>
      </c>
      <c r="BD178" s="326">
        <f t="shared" ref="BD178" si="1195">(BD177-BD176)/BD176</f>
        <v>-1</v>
      </c>
      <c r="BE178" s="326">
        <f t="shared" ref="BE178" si="1196">(BE177-BE176)/BE176</f>
        <v>-1</v>
      </c>
      <c r="BF178" s="326">
        <f t="shared" ref="BF178" si="1197">(BF177-BF176)/BF176</f>
        <v>-1</v>
      </c>
      <c r="BG178" s="326">
        <f t="shared" ref="BG178" si="1198">(BG177-BG176)/BG176</f>
        <v>-1</v>
      </c>
      <c r="BH178" s="326">
        <f t="shared" ref="BH178" si="1199">(BH177-BH176)/BH176</f>
        <v>-1</v>
      </c>
      <c r="BI178" s="326">
        <f t="shared" ref="BI178" si="1200">(BI177-BI176)/BI176</f>
        <v>-1</v>
      </c>
      <c r="BJ178" s="326">
        <f t="shared" ref="BJ178" si="1201">(BJ177-BJ176)/BJ176</f>
        <v>-1</v>
      </c>
      <c r="BK178" s="326">
        <f t="shared" ref="BK178" si="1202">(BK177-BK176)/BK176</f>
        <v>-1</v>
      </c>
      <c r="BL178" s="333">
        <f t="shared" ref="BL178" si="1203">(BL177-BL176)/BL176</f>
        <v>-1</v>
      </c>
    </row>
    <row r="179" spans="1:65" ht="17" x14ac:dyDescent="0.25">
      <c r="A179" s="609"/>
      <c r="B179" s="607"/>
      <c r="C179" s="372" t="s">
        <v>497</v>
      </c>
      <c r="D179" s="401" t="s">
        <v>56</v>
      </c>
      <c r="E179" s="396" t="e">
        <f>HLOOKUP(E$2,'Media rights marketplace'!$B$80:$BD$83,4)</f>
        <v>#N/A</v>
      </c>
      <c r="F179" s="374" t="e">
        <f>HLOOKUP(F$2,'Media rights marketplace'!$B$80:$BD$83,4)</f>
        <v>#N/A</v>
      </c>
      <c r="G179" s="374" t="e">
        <f>HLOOKUP(G$2,'Media rights marketplace'!$B$80:$BD$83,4)</f>
        <v>#N/A</v>
      </c>
      <c r="H179" s="374" t="e">
        <f>HLOOKUP(H$2,'Media rights marketplace'!$B$80:$BD$83,4)</f>
        <v>#N/A</v>
      </c>
      <c r="I179" s="374" t="e">
        <f>HLOOKUP(I$2,'Media rights marketplace'!$B$80:$BD$83,4)</f>
        <v>#N/A</v>
      </c>
      <c r="J179" s="374" t="e">
        <f>HLOOKUP(J$2,'Media rights marketplace'!$B$80:$BD$83,4)</f>
        <v>#N/A</v>
      </c>
      <c r="K179" s="374" t="e">
        <f>HLOOKUP(K$2,'Media rights marketplace'!$B$80:$BD$83,4)</f>
        <v>#N/A</v>
      </c>
      <c r="L179" s="374" t="e">
        <f>HLOOKUP(L$2,'Media rights marketplace'!$B$80:$BD$83,4)</f>
        <v>#N/A</v>
      </c>
      <c r="M179" s="374" t="e">
        <f>HLOOKUP(M$2,'Media rights marketplace'!$B$80:$BD$83,4)</f>
        <v>#N/A</v>
      </c>
      <c r="N179" s="374" t="e">
        <f>HLOOKUP(N$2,'Media rights marketplace'!$B$80:$BD$83,4)</f>
        <v>#N/A</v>
      </c>
      <c r="O179" s="374" t="e">
        <f>HLOOKUP(O$2,'Media rights marketplace'!$B$80:$BD$83,4)</f>
        <v>#N/A</v>
      </c>
      <c r="P179" s="397" t="e">
        <f>HLOOKUP(P$2,'Media rights marketplace'!$B$80:$BD$83,4)</f>
        <v>#N/A</v>
      </c>
      <c r="Q179" s="374" t="e">
        <f>HLOOKUP(Q$2,'Media rights marketplace'!$B$80:$BD$83,4)</f>
        <v>#N/A</v>
      </c>
      <c r="R179" s="374" t="e">
        <f>HLOOKUP(R$2,'Media rights marketplace'!$B$80:$BD$83,4)</f>
        <v>#N/A</v>
      </c>
      <c r="S179" s="374" t="e">
        <f>HLOOKUP(S$2,'Media rights marketplace'!$B$80:$BD$83,4)</f>
        <v>#N/A</v>
      </c>
      <c r="T179" s="374" t="e">
        <f>HLOOKUP(T$2,'Media rights marketplace'!$B$80:$BD$83,4)</f>
        <v>#N/A</v>
      </c>
      <c r="U179" s="374" t="e">
        <f>HLOOKUP(U$2,'Media rights marketplace'!$B$80:$BD$83,4)</f>
        <v>#N/A</v>
      </c>
      <c r="V179" s="374" t="e">
        <f>HLOOKUP(V$2,'Media rights marketplace'!$B$80:$BD$83,4)</f>
        <v>#N/A</v>
      </c>
      <c r="W179" s="374" t="e">
        <f>HLOOKUP(W$2,'Media rights marketplace'!$B$80:$BD$83,4)</f>
        <v>#N/A</v>
      </c>
      <c r="X179" s="374" t="e">
        <f>HLOOKUP(X$2,'Media rights marketplace'!$B$80:$BD$83,4)</f>
        <v>#N/A</v>
      </c>
      <c r="Y179" s="374" t="e">
        <f>HLOOKUP(Y$2,'Media rights marketplace'!$B$80:$BD$83,4)</f>
        <v>#N/A</v>
      </c>
      <c r="Z179" s="374" t="e">
        <f>HLOOKUP(Z$2,'Media rights marketplace'!$B$80:$BD$83,4)</f>
        <v>#N/A</v>
      </c>
      <c r="AA179" s="374" t="e">
        <f>HLOOKUP(AA$2,'Media rights marketplace'!$B$80:$BD$83,4)</f>
        <v>#N/A</v>
      </c>
      <c r="AB179" s="374" t="e">
        <f>HLOOKUP(AB$2,'Media rights marketplace'!$B$80:$BD$83,4)</f>
        <v>#N/A</v>
      </c>
      <c r="AC179" s="396" t="e">
        <f>HLOOKUP(AC$2,'Media rights marketplace'!$B$80:$BD$83,4)</f>
        <v>#N/A</v>
      </c>
      <c r="AD179" s="374">
        <f>HLOOKUP(AD$2,'Media rights marketplace'!$B$80:$BD$83,4)</f>
        <v>-28432</v>
      </c>
      <c r="AE179" s="374">
        <f>HLOOKUP(AE$2,'Media rights marketplace'!$B$80:$BD$83,4)</f>
        <v>-28432</v>
      </c>
      <c r="AF179" s="374">
        <f>HLOOKUP(AF$2,'Media rights marketplace'!$B$80:$BD$83,4)</f>
        <v>-28462</v>
      </c>
      <c r="AG179" s="374">
        <f>HLOOKUP(AG$2,'Media rights marketplace'!$B$80:$BD$83,4)</f>
        <v>-28492.45</v>
      </c>
      <c r="AH179" s="374">
        <f>HLOOKUP(AH$2,'Media rights marketplace'!$B$80:$BD$83,4)</f>
        <v>-28523.356749999999</v>
      </c>
      <c r="AI179" s="374">
        <f>HLOOKUP(AI$2,'Media rights marketplace'!$B$80:$BD$83,4)</f>
        <v>-28554.727101249999</v>
      </c>
      <c r="AJ179" s="374">
        <f>HLOOKUP(AJ$2,'Media rights marketplace'!$B$80:$BD$83,4)</f>
        <v>-13025.568007768748</v>
      </c>
      <c r="AK179" s="374">
        <f>HLOOKUP(AK$2,'Media rights marketplace'!$B$80:$BD$83,4)</f>
        <v>-13057.886527885279</v>
      </c>
      <c r="AL179" s="374">
        <f>HLOOKUP(AL$2,'Media rights marketplace'!$B$80:$BD$83,4)</f>
        <v>29260.983648199021</v>
      </c>
      <c r="AM179" s="374">
        <f>HLOOKUP(AM$2,'Media rights marketplace'!$B$80:$BD$83,4)</f>
        <v>32416.495439716411</v>
      </c>
      <c r="AN179" s="397">
        <f>HLOOKUP(AN$2,'Media rights marketplace'!$B$80:$BD$83,4)</f>
        <v>35600.474197477553</v>
      </c>
      <c r="AO179" s="374">
        <f>HLOOKUP(AO$2,'Media rights marketplace'!$B$80:$BD$83,4)</f>
        <v>38815.113956056564</v>
      </c>
      <c r="AP179" s="374">
        <f>HLOOKUP(AP$2,'Media rights marketplace'!$B$80:$BD$83,4)</f>
        <v>43499.039271949063</v>
      </c>
      <c r="AQ179" s="374">
        <f>HLOOKUP(AQ$2,'Media rights marketplace'!$B$80:$BD$83,4)</f>
        <v>48226.198318190902</v>
      </c>
      <c r="AR179" s="374">
        <f>HLOOKUP(AR$2,'Media rights marketplace'!$B$80:$BD$83,4)</f>
        <v>52999.93150702829</v>
      </c>
      <c r="AS179" s="374">
        <f>HLOOKUP(AS$2,'Media rights marketplace'!$B$80:$BD$83,4)</f>
        <v>57824.08137008721</v>
      </c>
      <c r="AT179" s="374">
        <f>HLOOKUP(AT$2,'Media rights marketplace'!$B$80:$BD$83,4)</f>
        <v>62703.067892143474</v>
      </c>
      <c r="AU179" s="374">
        <f>HLOOKUP(AU$2,'Media rights marketplace'!$B$80:$BD$83,4)</f>
        <v>67641.975145196266</v>
      </c>
      <c r="AV179" s="374">
        <f>HLOOKUP(AV$2,'Media rights marketplace'!$B$80:$BD$83,4)</f>
        <v>72646.650917894556</v>
      </c>
      <c r="AW179" s="374">
        <f>HLOOKUP(AW$2,'Media rights marketplace'!$B$80:$BD$83,4)</f>
        <v>77723.821289621774</v>
      </c>
      <c r="AX179" s="374">
        <f>HLOOKUP(AX$2,'Media rights marketplace'!$B$80:$BD$83,4)</f>
        <v>82881.222390942959</v>
      </c>
      <c r="AY179" s="374">
        <f>HLOOKUP(AY$2,'Media rights marketplace'!$B$80:$BD$83,4)</f>
        <v>88127.751928371028</v>
      </c>
      <c r="AZ179" s="374">
        <f>HLOOKUP(AZ$2,'Media rights marketplace'!$B$80:$BD$83,4)</f>
        <v>93473.643438104307</v>
      </c>
      <c r="BA179" s="396">
        <f>HLOOKUP(BA$2,'Media rights marketplace'!$B$80:$BD$83,4)</f>
        <v>98930.66667808505</v>
      </c>
      <c r="BB179" s="374">
        <f>HLOOKUP(BB$2,'Media rights marketplace'!$B$80:$BD$83,4)</f>
        <v>105374.01832236419</v>
      </c>
      <c r="BC179" s="374">
        <f>HLOOKUP(BC$2,'Media rights marketplace'!$B$80:$BD$83,4)</f>
        <v>111961.89311735169</v>
      </c>
      <c r="BD179" s="374">
        <f>HLOOKUP(BD$2,'Media rights marketplace'!$B$80:$BD$83,4)</f>
        <v>118712.1956499549</v>
      </c>
      <c r="BE179" s="374">
        <f>HLOOKUP(BE$2,'Media rights marketplace'!$B$80:$BD$83,4)</f>
        <v>125645.77814364253</v>
      </c>
      <c r="BF179" s="374">
        <f>HLOOKUP(BF$2,'Media rights marketplace'!$B$80:$BD$83,4)</f>
        <v>132786.10186750762</v>
      </c>
      <c r="BG179" s="374">
        <f>HLOOKUP(BG$2,'Media rights marketplace'!$B$80:$BD$83,4)</f>
        <v>140160.40797081336</v>
      </c>
      <c r="BH179" s="374">
        <f>HLOOKUP(BH$2,'Media rights marketplace'!$B$80:$BD$83,4)</f>
        <v>147800.02509738662</v>
      </c>
      <c r="BI179" s="374">
        <f>HLOOKUP(BI$2,'Media rights marketplace'!$B$80:$BD$83,4)</f>
        <v>155740.98252963464</v>
      </c>
      <c r="BJ179" s="374">
        <f>HLOOKUP(BJ$2,'Media rights marketplace'!$B$80:$BD$83,4)</f>
        <v>164024.7153044625</v>
      </c>
      <c r="BK179" s="374">
        <f>HLOOKUP(BK$2,'Media rights marketplace'!$B$80:$BD$83,4)</f>
        <v>172698.87509687975</v>
      </c>
      <c r="BL179" s="397">
        <f>HLOOKUP(BL$2,'Media rights marketplace'!$B$80:$BD$83,4)</f>
        <v>181818.26273645461</v>
      </c>
    </row>
    <row r="180" spans="1:65" ht="17" x14ac:dyDescent="0.25">
      <c r="A180" s="609"/>
      <c r="B180" s="607"/>
      <c r="C180" s="373" t="s">
        <v>498</v>
      </c>
      <c r="D180" s="402" t="s">
        <v>56</v>
      </c>
      <c r="E180" s="388">
        <f>E174-E177</f>
        <v>0</v>
      </c>
      <c r="F180" s="344">
        <f t="shared" ref="F180:BL180" si="1204">F174-F177</f>
        <v>0</v>
      </c>
      <c r="G180" s="344">
        <f t="shared" si="1204"/>
        <v>0</v>
      </c>
      <c r="H180" s="344">
        <f t="shared" si="1204"/>
        <v>0</v>
      </c>
      <c r="I180" s="344">
        <f t="shared" si="1204"/>
        <v>0</v>
      </c>
      <c r="J180" s="344">
        <f t="shared" si="1204"/>
        <v>0</v>
      </c>
      <c r="K180" s="344">
        <f t="shared" si="1204"/>
        <v>0</v>
      </c>
      <c r="L180" s="344">
        <f t="shared" si="1204"/>
        <v>0</v>
      </c>
      <c r="M180" s="344">
        <f t="shared" si="1204"/>
        <v>0</v>
      </c>
      <c r="N180" s="344">
        <f t="shared" si="1204"/>
        <v>0</v>
      </c>
      <c r="O180" s="344">
        <f t="shared" si="1204"/>
        <v>0</v>
      </c>
      <c r="P180" s="345">
        <f t="shared" si="1204"/>
        <v>0</v>
      </c>
      <c r="Q180" s="344">
        <f t="shared" si="1204"/>
        <v>0</v>
      </c>
      <c r="R180" s="344">
        <f t="shared" si="1204"/>
        <v>0</v>
      </c>
      <c r="S180" s="344">
        <f t="shared" si="1204"/>
        <v>0</v>
      </c>
      <c r="T180" s="344">
        <f t="shared" si="1204"/>
        <v>0</v>
      </c>
      <c r="U180" s="344">
        <f t="shared" si="1204"/>
        <v>0</v>
      </c>
      <c r="V180" s="344">
        <f t="shared" si="1204"/>
        <v>0</v>
      </c>
      <c r="W180" s="344">
        <f t="shared" si="1204"/>
        <v>0</v>
      </c>
      <c r="X180" s="344">
        <f t="shared" si="1204"/>
        <v>0</v>
      </c>
      <c r="Y180" s="344">
        <f t="shared" si="1204"/>
        <v>0</v>
      </c>
      <c r="Z180" s="344">
        <f t="shared" si="1204"/>
        <v>0</v>
      </c>
      <c r="AA180" s="344">
        <f t="shared" si="1204"/>
        <v>0</v>
      </c>
      <c r="AB180" s="344">
        <f t="shared" si="1204"/>
        <v>0</v>
      </c>
      <c r="AC180" s="388">
        <f t="shared" si="1204"/>
        <v>0</v>
      </c>
      <c r="AD180" s="344">
        <f t="shared" si="1204"/>
        <v>0</v>
      </c>
      <c r="AE180" s="344">
        <f t="shared" si="1204"/>
        <v>0</v>
      </c>
      <c r="AF180" s="344">
        <f t="shared" si="1204"/>
        <v>0</v>
      </c>
      <c r="AG180" s="344">
        <f t="shared" si="1204"/>
        <v>0</v>
      </c>
      <c r="AH180" s="344">
        <f t="shared" si="1204"/>
        <v>0</v>
      </c>
      <c r="AI180" s="344">
        <f t="shared" si="1204"/>
        <v>0</v>
      </c>
      <c r="AJ180" s="344">
        <f t="shared" si="1204"/>
        <v>0</v>
      </c>
      <c r="AK180" s="344">
        <f t="shared" si="1204"/>
        <v>0</v>
      </c>
      <c r="AL180" s="344">
        <f t="shared" si="1204"/>
        <v>0</v>
      </c>
      <c r="AM180" s="344">
        <f t="shared" si="1204"/>
        <v>0</v>
      </c>
      <c r="AN180" s="345">
        <f t="shared" si="1204"/>
        <v>0</v>
      </c>
      <c r="AO180" s="344">
        <f t="shared" si="1204"/>
        <v>0</v>
      </c>
      <c r="AP180" s="344">
        <f t="shared" si="1204"/>
        <v>0</v>
      </c>
      <c r="AQ180" s="344">
        <f t="shared" si="1204"/>
        <v>0</v>
      </c>
      <c r="AR180" s="344">
        <f t="shared" si="1204"/>
        <v>0</v>
      </c>
      <c r="AS180" s="344">
        <f t="shared" si="1204"/>
        <v>0</v>
      </c>
      <c r="AT180" s="344">
        <f t="shared" si="1204"/>
        <v>0</v>
      </c>
      <c r="AU180" s="344">
        <f t="shared" si="1204"/>
        <v>0</v>
      </c>
      <c r="AV180" s="344">
        <f t="shared" si="1204"/>
        <v>0</v>
      </c>
      <c r="AW180" s="344">
        <f t="shared" si="1204"/>
        <v>0</v>
      </c>
      <c r="AX180" s="344">
        <f t="shared" si="1204"/>
        <v>0</v>
      </c>
      <c r="AY180" s="344">
        <f t="shared" si="1204"/>
        <v>0</v>
      </c>
      <c r="AZ180" s="344">
        <f t="shared" si="1204"/>
        <v>0</v>
      </c>
      <c r="BA180" s="388">
        <f t="shared" si="1204"/>
        <v>0</v>
      </c>
      <c r="BB180" s="344">
        <f t="shared" si="1204"/>
        <v>0</v>
      </c>
      <c r="BC180" s="344">
        <f t="shared" si="1204"/>
        <v>0</v>
      </c>
      <c r="BD180" s="344">
        <f t="shared" si="1204"/>
        <v>0</v>
      </c>
      <c r="BE180" s="344">
        <f t="shared" si="1204"/>
        <v>0</v>
      </c>
      <c r="BF180" s="344">
        <f t="shared" si="1204"/>
        <v>0</v>
      </c>
      <c r="BG180" s="344">
        <f t="shared" si="1204"/>
        <v>0</v>
      </c>
      <c r="BH180" s="344">
        <f t="shared" si="1204"/>
        <v>0</v>
      </c>
      <c r="BI180" s="344">
        <f t="shared" si="1204"/>
        <v>0</v>
      </c>
      <c r="BJ180" s="344">
        <f t="shared" si="1204"/>
        <v>0</v>
      </c>
      <c r="BK180" s="344">
        <f t="shared" si="1204"/>
        <v>0</v>
      </c>
      <c r="BL180" s="345">
        <f t="shared" si="1204"/>
        <v>0</v>
      </c>
    </row>
    <row r="181" spans="1:65" ht="17" thickBot="1" x14ac:dyDescent="0.3">
      <c r="A181" s="610"/>
      <c r="B181" s="611"/>
      <c r="C181" s="424" t="s">
        <v>507</v>
      </c>
      <c r="D181" s="404" t="s">
        <v>499</v>
      </c>
      <c r="E181" s="425" t="e">
        <f>E180-E179</f>
        <v>#N/A</v>
      </c>
      <c r="F181" s="359" t="e">
        <f t="shared" ref="F181" si="1205">F180-F179</f>
        <v>#N/A</v>
      </c>
      <c r="G181" s="359" t="e">
        <f t="shared" ref="G181" si="1206">G180-G179</f>
        <v>#N/A</v>
      </c>
      <c r="H181" s="359" t="e">
        <f t="shared" ref="H181" si="1207">H180-H179</f>
        <v>#N/A</v>
      </c>
      <c r="I181" s="359" t="e">
        <f t="shared" ref="I181" si="1208">I180-I179</f>
        <v>#N/A</v>
      </c>
      <c r="J181" s="359" t="e">
        <f t="shared" ref="J181" si="1209">J180-J179</f>
        <v>#N/A</v>
      </c>
      <c r="K181" s="359" t="e">
        <f t="shared" ref="K181" si="1210">K180-K179</f>
        <v>#N/A</v>
      </c>
      <c r="L181" s="359" t="e">
        <f t="shared" ref="L181" si="1211">L180-L179</f>
        <v>#N/A</v>
      </c>
      <c r="M181" s="359" t="e">
        <f t="shared" ref="M181" si="1212">M180-M179</f>
        <v>#N/A</v>
      </c>
      <c r="N181" s="359" t="e">
        <f t="shared" ref="N181" si="1213">N180-N179</f>
        <v>#N/A</v>
      </c>
      <c r="O181" s="359" t="e">
        <f t="shared" ref="O181" si="1214">O180-O179</f>
        <v>#N/A</v>
      </c>
      <c r="P181" s="360" t="e">
        <f t="shared" ref="P181" si="1215">P180-P179</f>
        <v>#N/A</v>
      </c>
      <c r="Q181" s="359" t="e">
        <f t="shared" ref="Q181" si="1216">Q180-Q179</f>
        <v>#N/A</v>
      </c>
      <c r="R181" s="359" t="e">
        <f t="shared" ref="R181" si="1217">R180-R179</f>
        <v>#N/A</v>
      </c>
      <c r="S181" s="359" t="e">
        <f>S180-S179</f>
        <v>#N/A</v>
      </c>
      <c r="T181" s="359" t="e">
        <f t="shared" ref="T181" si="1218">T180-T179</f>
        <v>#N/A</v>
      </c>
      <c r="U181" s="359" t="e">
        <f t="shared" ref="U181" si="1219">U180-U179</f>
        <v>#N/A</v>
      </c>
      <c r="V181" s="359" t="e">
        <f t="shared" ref="V181" si="1220">V180-V179</f>
        <v>#N/A</v>
      </c>
      <c r="W181" s="359" t="e">
        <f t="shared" ref="W181" si="1221">W180-W179</f>
        <v>#N/A</v>
      </c>
      <c r="X181" s="359" t="e">
        <f t="shared" ref="X181" si="1222">X180-X179</f>
        <v>#N/A</v>
      </c>
      <c r="Y181" s="359" t="e">
        <f t="shared" ref="Y181" si="1223">Y180-Y179</f>
        <v>#N/A</v>
      </c>
      <c r="Z181" s="359" t="e">
        <f t="shared" ref="Z181" si="1224">Z180-Z179</f>
        <v>#N/A</v>
      </c>
      <c r="AA181" s="359" t="e">
        <f t="shared" ref="AA181" si="1225">AA180-AA179</f>
        <v>#N/A</v>
      </c>
      <c r="AB181" s="359" t="e">
        <f t="shared" ref="AB181" si="1226">AB180-AB179</f>
        <v>#N/A</v>
      </c>
      <c r="AC181" s="425" t="e">
        <f t="shared" ref="AC181" si="1227">AC180-AC179</f>
        <v>#N/A</v>
      </c>
      <c r="AD181" s="359">
        <f t="shared" ref="AD181" si="1228">AD180-AD179</f>
        <v>28432</v>
      </c>
      <c r="AE181" s="359">
        <f t="shared" ref="AE181" si="1229">AE180-AE179</f>
        <v>28432</v>
      </c>
      <c r="AF181" s="359">
        <f t="shared" ref="AF181" si="1230">AF180-AF179</f>
        <v>28462</v>
      </c>
      <c r="AG181" s="359">
        <f t="shared" ref="AG181" si="1231">AG180-AG179</f>
        <v>28492.45</v>
      </c>
      <c r="AH181" s="359">
        <f t="shared" ref="AH181" si="1232">AH180-AH179</f>
        <v>28523.356749999999</v>
      </c>
      <c r="AI181" s="359">
        <f t="shared" ref="AI181" si="1233">AI180-AI179</f>
        <v>28554.727101249999</v>
      </c>
      <c r="AJ181" s="359">
        <f t="shared" ref="AJ181" si="1234">AJ180-AJ179</f>
        <v>13025.568007768748</v>
      </c>
      <c r="AK181" s="359">
        <f t="shared" ref="AK181" si="1235">AK180-AK179</f>
        <v>13057.886527885279</v>
      </c>
      <c r="AL181" s="359">
        <f t="shared" ref="AL181" si="1236">AL180-AL179</f>
        <v>-29260.983648199021</v>
      </c>
      <c r="AM181" s="359">
        <f t="shared" ref="AM181" si="1237">AM180-AM179</f>
        <v>-32416.495439716411</v>
      </c>
      <c r="AN181" s="360">
        <f t="shared" ref="AN181" si="1238">AN180-AN179</f>
        <v>-35600.474197477553</v>
      </c>
      <c r="AO181" s="359">
        <f t="shared" ref="AO181" si="1239">AO180-AO179</f>
        <v>-38815.113956056564</v>
      </c>
      <c r="AP181" s="359">
        <f t="shared" ref="AP181" si="1240">AP180-AP179</f>
        <v>-43499.039271949063</v>
      </c>
      <c r="AQ181" s="359">
        <f t="shared" ref="AQ181" si="1241">AQ180-AQ179</f>
        <v>-48226.198318190902</v>
      </c>
      <c r="AR181" s="359">
        <f t="shared" ref="AR181" si="1242">AR180-AR179</f>
        <v>-52999.93150702829</v>
      </c>
      <c r="AS181" s="359">
        <f t="shared" ref="AS181" si="1243">AS180-AS179</f>
        <v>-57824.08137008721</v>
      </c>
      <c r="AT181" s="359">
        <f t="shared" ref="AT181" si="1244">AT180-AT179</f>
        <v>-62703.067892143474</v>
      </c>
      <c r="AU181" s="359">
        <f t="shared" ref="AU181" si="1245">AU180-AU179</f>
        <v>-67641.975145196266</v>
      </c>
      <c r="AV181" s="359">
        <f t="shared" ref="AV181" si="1246">AV180-AV179</f>
        <v>-72646.650917894556</v>
      </c>
      <c r="AW181" s="359">
        <f t="shared" ref="AW181" si="1247">AW180-AW179</f>
        <v>-77723.821289621774</v>
      </c>
      <c r="AX181" s="359">
        <f t="shared" ref="AX181" si="1248">AX180-AX179</f>
        <v>-82881.222390942959</v>
      </c>
      <c r="AY181" s="359">
        <f t="shared" ref="AY181" si="1249">AY180-AY179</f>
        <v>-88127.751928371028</v>
      </c>
      <c r="AZ181" s="359">
        <f t="shared" ref="AZ181" si="1250">AZ180-AZ179</f>
        <v>-93473.643438104307</v>
      </c>
      <c r="BA181" s="425">
        <f t="shared" ref="BA181" si="1251">BA180-BA179</f>
        <v>-98930.66667808505</v>
      </c>
      <c r="BB181" s="359">
        <f t="shared" ref="BB181" si="1252">BB180-BB179</f>
        <v>-105374.01832236419</v>
      </c>
      <c r="BC181" s="359">
        <f t="shared" ref="BC181" si="1253">BC180-BC179</f>
        <v>-111961.89311735169</v>
      </c>
      <c r="BD181" s="359">
        <f t="shared" ref="BD181" si="1254">BD180-BD179</f>
        <v>-118712.1956499549</v>
      </c>
      <c r="BE181" s="359">
        <f t="shared" ref="BE181" si="1255">BE180-BE179</f>
        <v>-125645.77814364253</v>
      </c>
      <c r="BF181" s="359">
        <f t="shared" ref="BF181" si="1256">BF180-BF179</f>
        <v>-132786.10186750762</v>
      </c>
      <c r="BG181" s="359">
        <f t="shared" ref="BG181" si="1257">BG180-BG179</f>
        <v>-140160.40797081336</v>
      </c>
      <c r="BH181" s="359">
        <f t="shared" ref="BH181" si="1258">BH180-BH179</f>
        <v>-147800.02509738662</v>
      </c>
      <c r="BI181" s="359">
        <f t="shared" ref="BI181" si="1259">BI180-BI179</f>
        <v>-155740.98252963464</v>
      </c>
      <c r="BJ181" s="359">
        <f t="shared" ref="BJ181" si="1260">BJ180-BJ179</f>
        <v>-164024.7153044625</v>
      </c>
      <c r="BK181" s="359">
        <f t="shared" ref="BK181" si="1261">BK180-BK179</f>
        <v>-172698.87509687975</v>
      </c>
      <c r="BL181" s="360">
        <f t="shared" ref="BL181" si="1262">BL180-BL179</f>
        <v>-181818.26273645461</v>
      </c>
    </row>
    <row r="182" spans="1:65" ht="17" x14ac:dyDescent="0.25">
      <c r="A182" s="612">
        <v>9</v>
      </c>
      <c r="B182" s="615" t="s">
        <v>525</v>
      </c>
      <c r="C182" s="420" t="s">
        <v>497</v>
      </c>
      <c r="D182" s="405" t="s">
        <v>524</v>
      </c>
      <c r="E182" s="430">
        <f>TURNOVER!C52</f>
        <v>1870.4</v>
      </c>
      <c r="F182" s="431">
        <f>TURNOVER!D52</f>
        <v>3740.8</v>
      </c>
      <c r="G182" s="431">
        <f>TURNOVER!E52</f>
        <v>5861.2</v>
      </c>
      <c r="H182" s="431">
        <f>TURNOVER!F52</f>
        <v>9551.6</v>
      </c>
      <c r="I182" s="431">
        <f>TURNOVER!G52</f>
        <v>13242</v>
      </c>
      <c r="J182" s="431">
        <f>TURNOVER!H52</f>
        <v>16932.400000000001</v>
      </c>
      <c r="K182" s="431">
        <f>TURNOVER!I52</f>
        <v>20622.8</v>
      </c>
      <c r="L182" s="431">
        <f>TURNOVER!J52</f>
        <v>28454</v>
      </c>
      <c r="M182" s="431">
        <f>TURNOVER!K52</f>
        <v>37093.1</v>
      </c>
      <c r="N182" s="431">
        <f>TURNOVER!L52</f>
        <v>49148</v>
      </c>
      <c r="O182" s="431">
        <f>TURNOVER!M52</f>
        <v>64661.2</v>
      </c>
      <c r="P182" s="432">
        <f>TURNOVER!N52</f>
        <v>103640.2</v>
      </c>
      <c r="Q182" s="431">
        <f>TURNOVER!O52</f>
        <v>106977.726</v>
      </c>
      <c r="R182" s="431">
        <f>TURNOVER!P52</f>
        <v>110558.44850000001</v>
      </c>
      <c r="S182" s="431">
        <f>TURNOVER!Q52</f>
        <v>134612.14907500002</v>
      </c>
      <c r="T182" s="431">
        <f>TURNOVER!R52</f>
        <v>138341.01706725001</v>
      </c>
      <c r="U182" s="431">
        <f>TURNOVER!S52</f>
        <v>141997.30749926751</v>
      </c>
      <c r="V182" s="431">
        <f>TURNOVER!T52</f>
        <v>166033.34304424556</v>
      </c>
      <c r="W182" s="431">
        <f>TURNOVER!U52</f>
        <v>175741.51605557289</v>
      </c>
      <c r="X182" s="431">
        <f>TURNOVER!V52</f>
        <v>180743.29065724011</v>
      </c>
      <c r="Y182" s="431">
        <f>TURNOVER!W52</f>
        <v>185087.10489695732</v>
      </c>
      <c r="Z182" s="431">
        <f>TURNOVER!X52</f>
        <v>190030.87496386602</v>
      </c>
      <c r="AA182" s="431">
        <f>TURNOVER!Y52</f>
        <v>398698.59516825411</v>
      </c>
      <c r="AB182" s="431">
        <f>TURNOVER!Z52</f>
        <v>425160.62808165932</v>
      </c>
      <c r="AC182" s="430">
        <f>TURNOVER!AA52</f>
        <v>456897.30131011701</v>
      </c>
      <c r="AD182" s="431">
        <f>TURNOVER!AB52</f>
        <v>845722.36792625347</v>
      </c>
      <c r="AE182" s="431">
        <f>TURNOVER!AC52</f>
        <v>922623.86950572568</v>
      </c>
      <c r="AF182" s="431">
        <f>TURNOVER!AD52</f>
        <v>991250.02661139704</v>
      </c>
      <c r="AG182" s="431">
        <f>TURNOVER!AE52</f>
        <v>1085252.6535332692</v>
      </c>
      <c r="AH182" s="431">
        <f>TURNOVER!AF52</f>
        <v>1166625.6329185413</v>
      </c>
      <c r="AI182" s="431">
        <f>TURNOVER!AG52</f>
        <v>1456640.1011184065</v>
      </c>
      <c r="AJ182" s="431">
        <f>TURNOVER!AH52</f>
        <v>1557745.9109790653</v>
      </c>
      <c r="AK182" s="431">
        <f>TURNOVER!AI52</f>
        <v>1684458.9953134118</v>
      </c>
      <c r="AL182" s="431">
        <f>TURNOVER!AJ52</f>
        <v>1919863.1368333041</v>
      </c>
      <c r="AM182" s="431">
        <f>TURNOVER!AK52</f>
        <v>2060505.5392494542</v>
      </c>
      <c r="AN182" s="432">
        <f>TURNOVER!AL52</f>
        <v>2230004.2737450399</v>
      </c>
      <c r="AO182" s="431">
        <f>TURNOVER!AM52</f>
        <v>2419203.5206862018</v>
      </c>
      <c r="AP182" s="431">
        <f>TURNOVER!AN52</f>
        <v>2640424.173806686</v>
      </c>
      <c r="AQ182" s="431">
        <f>TURNOVER!AO52</f>
        <v>2899378.0297093084</v>
      </c>
      <c r="AR182" s="431">
        <f>TURNOVER!AP52</f>
        <v>3204892.910515035</v>
      </c>
      <c r="AS182" s="431">
        <f>TURNOVER!AQ52</f>
        <v>3502899.3349224934</v>
      </c>
      <c r="AT182" s="431">
        <f>TURNOVER!AR52</f>
        <v>3847962.1899989783</v>
      </c>
      <c r="AU182" s="431">
        <f>TURNOVER!AS52</f>
        <v>4213201.3836758714</v>
      </c>
      <c r="AV182" s="431">
        <f>TURNOVER!AT52</f>
        <v>4632979.7592162266</v>
      </c>
      <c r="AW182" s="431">
        <f>TURNOVER!AU52</f>
        <v>5102613.6474966602</v>
      </c>
      <c r="AX182" s="431">
        <f>TURNOVER!AV52</f>
        <v>5616343.3904143153</v>
      </c>
      <c r="AY182" s="431">
        <f>TURNOVER!AW52</f>
        <v>6170815.7916495288</v>
      </c>
      <c r="AZ182" s="431">
        <f>TURNOVER!AX52</f>
        <v>6822080.880690814</v>
      </c>
      <c r="BA182" s="430">
        <f>TURNOVER!AY52</f>
        <v>7522426.8257989809</v>
      </c>
      <c r="BB182" s="431">
        <f>TURNOVER!AZ52</f>
        <v>8332688.6069825189</v>
      </c>
      <c r="BC182" s="431">
        <f>TURNOVER!BA52</f>
        <v>9272364.8857730925</v>
      </c>
      <c r="BD182" s="431">
        <f>TURNOVER!BB52</f>
        <v>10298550.275104452</v>
      </c>
      <c r="BE182" s="431">
        <f>TURNOVER!BC52</f>
        <v>11443180.191263786</v>
      </c>
      <c r="BF182" s="431">
        <f>TURNOVER!BD52</f>
        <v>12708934.728162631</v>
      </c>
      <c r="BG182" s="431">
        <f>TURNOVER!BE52</f>
        <v>14142638.946317403</v>
      </c>
      <c r="BH182" s="431">
        <f>TURNOVER!BF52</f>
        <v>15770072.264323363</v>
      </c>
      <c r="BI182" s="431">
        <f>TURNOVER!BG52</f>
        <v>17574610.123279337</v>
      </c>
      <c r="BJ182" s="431">
        <f>TURNOVER!BH52</f>
        <v>19624018.583029922</v>
      </c>
      <c r="BK182" s="431">
        <f>TURNOVER!BI52</f>
        <v>21909725.210960306</v>
      </c>
      <c r="BL182" s="432">
        <f>TURNOVER!BJ52</f>
        <v>24489745.129786875</v>
      </c>
    </row>
    <row r="183" spans="1:65" ht="17" x14ac:dyDescent="0.25">
      <c r="A183" s="613"/>
      <c r="B183" s="616"/>
      <c r="C183" s="373" t="s">
        <v>498</v>
      </c>
      <c r="D183" s="402" t="s">
        <v>524</v>
      </c>
      <c r="E183" s="388">
        <v>20000</v>
      </c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  <c r="AA183" s="344"/>
      <c r="AB183" s="344"/>
      <c r="AC183" s="388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5"/>
      <c r="AO183" s="344"/>
      <c r="AP183" s="344"/>
      <c r="AQ183" s="344"/>
      <c r="AR183" s="344"/>
      <c r="AS183" s="344"/>
      <c r="AT183" s="344"/>
      <c r="AU183" s="344"/>
      <c r="AV183" s="344"/>
      <c r="AW183" s="344"/>
      <c r="AX183" s="344"/>
      <c r="AY183" s="344"/>
      <c r="AZ183" s="344"/>
      <c r="BA183" s="388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45"/>
    </row>
    <row r="184" spans="1:65" x14ac:dyDescent="0.25">
      <c r="A184" s="613"/>
      <c r="B184" s="616"/>
      <c r="C184" s="370" t="s">
        <v>507</v>
      </c>
      <c r="D184" s="403" t="s">
        <v>499</v>
      </c>
      <c r="E184" s="382">
        <f>(E183-E182)/E182</f>
        <v>9.6928999144567989</v>
      </c>
      <c r="F184" s="371">
        <f t="shared" ref="F184" si="1263">(F183-F182)/F182</f>
        <v>-1</v>
      </c>
      <c r="G184" s="371">
        <f t="shared" ref="G184" si="1264">(G183-G182)/G182</f>
        <v>-1</v>
      </c>
      <c r="H184" s="371">
        <f t="shared" ref="H184" si="1265">(H183-H182)/H182</f>
        <v>-1</v>
      </c>
      <c r="I184" s="371">
        <f t="shared" ref="I184" si="1266">(I183-I182)/I182</f>
        <v>-1</v>
      </c>
      <c r="J184" s="371">
        <f t="shared" ref="J184" si="1267">(J183-J182)/J182</f>
        <v>-1</v>
      </c>
      <c r="K184" s="371">
        <f t="shared" ref="K184" si="1268">(K183-K182)/K182</f>
        <v>-1</v>
      </c>
      <c r="L184" s="371">
        <f t="shared" ref="L184" si="1269">(L183-L182)/L182</f>
        <v>-1</v>
      </c>
      <c r="M184" s="371">
        <f t="shared" ref="M184" si="1270">(M183-M182)/M182</f>
        <v>-1</v>
      </c>
      <c r="N184" s="371">
        <f t="shared" ref="N184" si="1271">(N183-N182)/N182</f>
        <v>-1</v>
      </c>
      <c r="O184" s="371">
        <f t="shared" ref="O184" si="1272">(O183-O182)/O182</f>
        <v>-1</v>
      </c>
      <c r="P184" s="383">
        <f t="shared" ref="P184" si="1273">(P183-P182)/P182</f>
        <v>-1</v>
      </c>
      <c r="Q184" s="371">
        <f t="shared" ref="Q184" si="1274">(Q183-Q182)/Q182</f>
        <v>-1</v>
      </c>
      <c r="R184" s="371">
        <f t="shared" ref="R184" si="1275">(R183-R182)/R182</f>
        <v>-1</v>
      </c>
      <c r="S184" s="371">
        <f t="shared" ref="S184" si="1276">(S183-S182)/S182</f>
        <v>-1</v>
      </c>
      <c r="T184" s="371">
        <f t="shared" ref="T184" si="1277">(T183-T182)/T182</f>
        <v>-1</v>
      </c>
      <c r="U184" s="371">
        <f t="shared" ref="U184" si="1278">(U183-U182)/U182</f>
        <v>-1</v>
      </c>
      <c r="V184" s="371">
        <f t="shared" ref="V184" si="1279">(V183-V182)/V182</f>
        <v>-1</v>
      </c>
      <c r="W184" s="371">
        <f t="shared" ref="W184" si="1280">(W183-W182)/W182</f>
        <v>-1</v>
      </c>
      <c r="X184" s="371">
        <f t="shared" ref="X184" si="1281">(X183-X182)/X182</f>
        <v>-1</v>
      </c>
      <c r="Y184" s="371">
        <f t="shared" ref="Y184" si="1282">(Y183-Y182)/Y182</f>
        <v>-1</v>
      </c>
      <c r="Z184" s="371">
        <f t="shared" ref="Z184" si="1283">(Z183-Z182)/Z182</f>
        <v>-1</v>
      </c>
      <c r="AA184" s="371">
        <f t="shared" ref="AA184" si="1284">(AA183-AA182)/AA182</f>
        <v>-1</v>
      </c>
      <c r="AB184" s="371">
        <f t="shared" ref="AB184" si="1285">(AB183-AB182)/AB182</f>
        <v>-1</v>
      </c>
      <c r="AC184" s="382">
        <f t="shared" ref="AC184" si="1286">(AC183-AC182)/AC182</f>
        <v>-1</v>
      </c>
      <c r="AD184" s="371">
        <f t="shared" ref="AD184" si="1287">(AD183-AD182)/AD182</f>
        <v>-1</v>
      </c>
      <c r="AE184" s="371">
        <f t="shared" ref="AE184" si="1288">(AE183-AE182)/AE182</f>
        <v>-1</v>
      </c>
      <c r="AF184" s="371">
        <f t="shared" ref="AF184" si="1289">(AF183-AF182)/AF182</f>
        <v>-1</v>
      </c>
      <c r="AG184" s="371">
        <f t="shared" ref="AG184" si="1290">(AG183-AG182)/AG182</f>
        <v>-1</v>
      </c>
      <c r="AH184" s="371">
        <f t="shared" ref="AH184" si="1291">(AH183-AH182)/AH182</f>
        <v>-1</v>
      </c>
      <c r="AI184" s="371">
        <f t="shared" ref="AI184" si="1292">(AI183-AI182)/AI182</f>
        <v>-1</v>
      </c>
      <c r="AJ184" s="371">
        <f t="shared" ref="AJ184" si="1293">(AJ183-AJ182)/AJ182</f>
        <v>-1</v>
      </c>
      <c r="AK184" s="371">
        <f t="shared" ref="AK184" si="1294">(AK183-AK182)/AK182</f>
        <v>-1</v>
      </c>
      <c r="AL184" s="371">
        <f t="shared" ref="AL184" si="1295">(AL183-AL182)/AL182</f>
        <v>-1</v>
      </c>
      <c r="AM184" s="371">
        <f t="shared" ref="AM184" si="1296">(AM183-AM182)/AM182</f>
        <v>-1</v>
      </c>
      <c r="AN184" s="383">
        <f t="shared" ref="AN184" si="1297">(AN183-AN182)/AN182</f>
        <v>-1</v>
      </c>
      <c r="AO184" s="371">
        <f t="shared" ref="AO184" si="1298">(AO183-AO182)/AO182</f>
        <v>-1</v>
      </c>
      <c r="AP184" s="371">
        <f t="shared" ref="AP184" si="1299">(AP183-AP182)/AP182</f>
        <v>-1</v>
      </c>
      <c r="AQ184" s="371">
        <f t="shared" ref="AQ184" si="1300">(AQ183-AQ182)/AQ182</f>
        <v>-1</v>
      </c>
      <c r="AR184" s="371">
        <f t="shared" ref="AR184" si="1301">(AR183-AR182)/AR182</f>
        <v>-1</v>
      </c>
      <c r="AS184" s="371">
        <f t="shared" ref="AS184" si="1302">(AS183-AS182)/AS182</f>
        <v>-1</v>
      </c>
      <c r="AT184" s="371">
        <f t="shared" ref="AT184" si="1303">(AT183-AT182)/AT182</f>
        <v>-1</v>
      </c>
      <c r="AU184" s="371">
        <f t="shared" ref="AU184" si="1304">(AU183-AU182)/AU182</f>
        <v>-1</v>
      </c>
      <c r="AV184" s="371">
        <f t="shared" ref="AV184" si="1305">(AV183-AV182)/AV182</f>
        <v>-1</v>
      </c>
      <c r="AW184" s="371">
        <f t="shared" ref="AW184" si="1306">(AW183-AW182)/AW182</f>
        <v>-1</v>
      </c>
      <c r="AX184" s="371">
        <f t="shared" ref="AX184" si="1307">(AX183-AX182)/AX182</f>
        <v>-1</v>
      </c>
      <c r="AY184" s="371">
        <f t="shared" ref="AY184" si="1308">(AY183-AY182)/AY182</f>
        <v>-1</v>
      </c>
      <c r="AZ184" s="371">
        <f t="shared" ref="AZ184" si="1309">(AZ183-AZ182)/AZ182</f>
        <v>-1</v>
      </c>
      <c r="BA184" s="382">
        <f t="shared" ref="BA184" si="1310">(BA183-BA182)/BA182</f>
        <v>-1</v>
      </c>
      <c r="BB184" s="371">
        <f t="shared" ref="BB184" si="1311">(BB183-BB182)/BB182</f>
        <v>-1</v>
      </c>
      <c r="BC184" s="371">
        <f t="shared" ref="BC184" si="1312">(BC183-BC182)/BC182</f>
        <v>-1</v>
      </c>
      <c r="BD184" s="371">
        <f t="shared" ref="BD184" si="1313">(BD183-BD182)/BD182</f>
        <v>-1</v>
      </c>
      <c r="BE184" s="371">
        <f t="shared" ref="BE184" si="1314">(BE183-BE182)/BE182</f>
        <v>-1</v>
      </c>
      <c r="BF184" s="371">
        <f t="shared" ref="BF184" si="1315">(BF183-BF182)/BF182</f>
        <v>-1</v>
      </c>
      <c r="BG184" s="371">
        <f t="shared" ref="BG184" si="1316">(BG183-BG182)/BG182</f>
        <v>-1</v>
      </c>
      <c r="BH184" s="371">
        <f t="shared" ref="BH184" si="1317">(BH183-BH182)/BH182</f>
        <v>-1</v>
      </c>
      <c r="BI184" s="371">
        <f t="shared" ref="BI184" si="1318">(BI183-BI182)/BI182</f>
        <v>-1</v>
      </c>
      <c r="BJ184" s="371">
        <f t="shared" ref="BJ184" si="1319">(BJ183-BJ182)/BJ182</f>
        <v>-1</v>
      </c>
      <c r="BK184" s="371">
        <f t="shared" ref="BK184" si="1320">(BK183-BK182)/BK182</f>
        <v>-1</v>
      </c>
      <c r="BL184" s="383">
        <f t="shared" ref="BL184" si="1321">(BL183-BL182)/BL182</f>
        <v>-1</v>
      </c>
    </row>
    <row r="185" spans="1:65" ht="17" x14ac:dyDescent="0.25">
      <c r="A185" s="613"/>
      <c r="B185" s="616"/>
      <c r="C185" s="372" t="s">
        <v>497</v>
      </c>
      <c r="D185" s="401" t="s">
        <v>526</v>
      </c>
      <c r="E185" s="396">
        <f>E182</f>
        <v>1870.4</v>
      </c>
      <c r="F185" s="374">
        <f>E185+F182</f>
        <v>5611.2000000000007</v>
      </c>
      <c r="G185" s="374">
        <f t="shared" ref="G185:BL185" si="1322">F185+G182</f>
        <v>11472.400000000001</v>
      </c>
      <c r="H185" s="374">
        <f t="shared" si="1322"/>
        <v>21024</v>
      </c>
      <c r="I185" s="374">
        <f t="shared" si="1322"/>
        <v>34266</v>
      </c>
      <c r="J185" s="374">
        <f t="shared" si="1322"/>
        <v>51198.400000000001</v>
      </c>
      <c r="K185" s="374">
        <f t="shared" si="1322"/>
        <v>71821.2</v>
      </c>
      <c r="L185" s="374">
        <f t="shared" si="1322"/>
        <v>100275.2</v>
      </c>
      <c r="M185" s="374">
        <f t="shared" si="1322"/>
        <v>137368.29999999999</v>
      </c>
      <c r="N185" s="374">
        <f t="shared" si="1322"/>
        <v>186516.3</v>
      </c>
      <c r="O185" s="374">
        <f t="shared" si="1322"/>
        <v>251177.5</v>
      </c>
      <c r="P185" s="397">
        <f t="shared" si="1322"/>
        <v>354817.7</v>
      </c>
      <c r="Q185" s="374">
        <f t="shared" si="1322"/>
        <v>461795.42599999998</v>
      </c>
      <c r="R185" s="374">
        <f t="shared" si="1322"/>
        <v>572353.87450000003</v>
      </c>
      <c r="S185" s="374">
        <f t="shared" si="1322"/>
        <v>706966.023575</v>
      </c>
      <c r="T185" s="374">
        <f t="shared" si="1322"/>
        <v>845307.04064224998</v>
      </c>
      <c r="U185" s="374">
        <f t="shared" si="1322"/>
        <v>987304.34814151749</v>
      </c>
      <c r="V185" s="374">
        <f t="shared" si="1322"/>
        <v>1153337.6911857631</v>
      </c>
      <c r="W185" s="374">
        <f t="shared" si="1322"/>
        <v>1329079.2072413359</v>
      </c>
      <c r="X185" s="374">
        <f t="shared" si="1322"/>
        <v>1509822.4978985761</v>
      </c>
      <c r="Y185" s="374">
        <f t="shared" si="1322"/>
        <v>1694909.6027955334</v>
      </c>
      <c r="Z185" s="374">
        <f t="shared" si="1322"/>
        <v>1884940.4777593995</v>
      </c>
      <c r="AA185" s="374">
        <f t="shared" si="1322"/>
        <v>2283639.0729276538</v>
      </c>
      <c r="AB185" s="374">
        <f t="shared" si="1322"/>
        <v>2708799.7010093131</v>
      </c>
      <c r="AC185" s="396">
        <f t="shared" si="1322"/>
        <v>3165697.00231943</v>
      </c>
      <c r="AD185" s="374">
        <f t="shared" si="1322"/>
        <v>4011419.3702456835</v>
      </c>
      <c r="AE185" s="374">
        <f t="shared" si="1322"/>
        <v>4934043.2397514088</v>
      </c>
      <c r="AF185" s="374">
        <f t="shared" si="1322"/>
        <v>5925293.2663628059</v>
      </c>
      <c r="AG185" s="374">
        <f t="shared" si="1322"/>
        <v>7010545.9198960755</v>
      </c>
      <c r="AH185" s="374">
        <f t="shared" si="1322"/>
        <v>8177171.5528146168</v>
      </c>
      <c r="AI185" s="374">
        <f t="shared" si="1322"/>
        <v>9633811.653933024</v>
      </c>
      <c r="AJ185" s="374">
        <f t="shared" si="1322"/>
        <v>11191557.56491209</v>
      </c>
      <c r="AK185" s="374">
        <f t="shared" si="1322"/>
        <v>12876016.560225502</v>
      </c>
      <c r="AL185" s="374">
        <f t="shared" si="1322"/>
        <v>14795879.697058806</v>
      </c>
      <c r="AM185" s="374">
        <f t="shared" si="1322"/>
        <v>16856385.236308262</v>
      </c>
      <c r="AN185" s="397">
        <f t="shared" si="1322"/>
        <v>19086389.510053303</v>
      </c>
      <c r="AO185" s="374">
        <f t="shared" si="1322"/>
        <v>21505593.030739505</v>
      </c>
      <c r="AP185" s="374">
        <f t="shared" si="1322"/>
        <v>24146017.204546191</v>
      </c>
      <c r="AQ185" s="374">
        <f t="shared" si="1322"/>
        <v>27045395.2342555</v>
      </c>
      <c r="AR185" s="374">
        <f t="shared" si="1322"/>
        <v>30250288.144770537</v>
      </c>
      <c r="AS185" s="374">
        <f t="shared" si="1322"/>
        <v>33753187.479693033</v>
      </c>
      <c r="AT185" s="374">
        <f t="shared" si="1322"/>
        <v>37601149.66969201</v>
      </c>
      <c r="AU185" s="374">
        <f t="shared" si="1322"/>
        <v>41814351.053367883</v>
      </c>
      <c r="AV185" s="374">
        <f t="shared" si="1322"/>
        <v>46447330.81258411</v>
      </c>
      <c r="AW185" s="374">
        <f t="shared" si="1322"/>
        <v>51549944.460080773</v>
      </c>
      <c r="AX185" s="374">
        <f t="shared" si="1322"/>
        <v>57166287.850495085</v>
      </c>
      <c r="AY185" s="374">
        <f t="shared" si="1322"/>
        <v>63337103.642144613</v>
      </c>
      <c r="AZ185" s="374">
        <f t="shared" si="1322"/>
        <v>70159184.522835433</v>
      </c>
      <c r="BA185" s="396">
        <f t="shared" si="1322"/>
        <v>77681611.348634422</v>
      </c>
      <c r="BB185" s="374">
        <f t="shared" si="1322"/>
        <v>86014299.955616936</v>
      </c>
      <c r="BC185" s="374">
        <f t="shared" si="1322"/>
        <v>95286664.841390029</v>
      </c>
      <c r="BD185" s="374">
        <f t="shared" si="1322"/>
        <v>105585215.11649448</v>
      </c>
      <c r="BE185" s="374">
        <f t="shared" si="1322"/>
        <v>117028395.30775826</v>
      </c>
      <c r="BF185" s="374">
        <f t="shared" si="1322"/>
        <v>129737330.03592089</v>
      </c>
      <c r="BG185" s="374">
        <f t="shared" si="1322"/>
        <v>143879968.98223829</v>
      </c>
      <c r="BH185" s="374">
        <f t="shared" si="1322"/>
        <v>159650041.24656165</v>
      </c>
      <c r="BI185" s="374">
        <f t="shared" si="1322"/>
        <v>177224651.36984098</v>
      </c>
      <c r="BJ185" s="374">
        <f t="shared" si="1322"/>
        <v>196848669.95287091</v>
      </c>
      <c r="BK185" s="374">
        <f t="shared" si="1322"/>
        <v>218758395.1638312</v>
      </c>
      <c r="BL185" s="397">
        <f t="shared" si="1322"/>
        <v>243248140.29361808</v>
      </c>
    </row>
    <row r="186" spans="1:65" ht="17" x14ac:dyDescent="0.25">
      <c r="A186" s="613"/>
      <c r="B186" s="616"/>
      <c r="C186" s="373" t="s">
        <v>498</v>
      </c>
      <c r="D186" s="402" t="s">
        <v>526</v>
      </c>
      <c r="E186" s="388">
        <f>E183</f>
        <v>20000</v>
      </c>
      <c r="F186" s="344">
        <f>E186+F183</f>
        <v>20000</v>
      </c>
      <c r="G186" s="344">
        <f t="shared" ref="G186:BL186" si="1323">F186+G183</f>
        <v>20000</v>
      </c>
      <c r="H186" s="344">
        <f t="shared" si="1323"/>
        <v>20000</v>
      </c>
      <c r="I186" s="344">
        <f t="shared" si="1323"/>
        <v>20000</v>
      </c>
      <c r="J186" s="344">
        <f t="shared" si="1323"/>
        <v>20000</v>
      </c>
      <c r="K186" s="344">
        <f t="shared" si="1323"/>
        <v>20000</v>
      </c>
      <c r="L186" s="344">
        <f t="shared" si="1323"/>
        <v>20000</v>
      </c>
      <c r="M186" s="344">
        <f t="shared" si="1323"/>
        <v>20000</v>
      </c>
      <c r="N186" s="344">
        <f t="shared" si="1323"/>
        <v>20000</v>
      </c>
      <c r="O186" s="344">
        <f t="shared" si="1323"/>
        <v>20000</v>
      </c>
      <c r="P186" s="345">
        <f t="shared" si="1323"/>
        <v>20000</v>
      </c>
      <c r="Q186" s="344">
        <f t="shared" si="1323"/>
        <v>20000</v>
      </c>
      <c r="R186" s="344">
        <f t="shared" si="1323"/>
        <v>20000</v>
      </c>
      <c r="S186" s="344">
        <f t="shared" si="1323"/>
        <v>20000</v>
      </c>
      <c r="T186" s="344">
        <f t="shared" si="1323"/>
        <v>20000</v>
      </c>
      <c r="U186" s="344">
        <f t="shared" si="1323"/>
        <v>20000</v>
      </c>
      <c r="V186" s="344">
        <f t="shared" si="1323"/>
        <v>20000</v>
      </c>
      <c r="W186" s="344">
        <f t="shared" si="1323"/>
        <v>20000</v>
      </c>
      <c r="X186" s="344">
        <f t="shared" si="1323"/>
        <v>20000</v>
      </c>
      <c r="Y186" s="344">
        <f t="shared" si="1323"/>
        <v>20000</v>
      </c>
      <c r="Z186" s="344">
        <f t="shared" si="1323"/>
        <v>20000</v>
      </c>
      <c r="AA186" s="344">
        <f t="shared" si="1323"/>
        <v>20000</v>
      </c>
      <c r="AB186" s="344">
        <f t="shared" si="1323"/>
        <v>20000</v>
      </c>
      <c r="AC186" s="388">
        <f t="shared" si="1323"/>
        <v>20000</v>
      </c>
      <c r="AD186" s="344">
        <f t="shared" si="1323"/>
        <v>20000</v>
      </c>
      <c r="AE186" s="344">
        <f t="shared" si="1323"/>
        <v>20000</v>
      </c>
      <c r="AF186" s="344">
        <f t="shared" si="1323"/>
        <v>20000</v>
      </c>
      <c r="AG186" s="344">
        <f t="shared" si="1323"/>
        <v>20000</v>
      </c>
      <c r="AH186" s="344">
        <f t="shared" si="1323"/>
        <v>20000</v>
      </c>
      <c r="AI186" s="344">
        <f t="shared" si="1323"/>
        <v>20000</v>
      </c>
      <c r="AJ186" s="344">
        <f t="shared" si="1323"/>
        <v>20000</v>
      </c>
      <c r="AK186" s="344">
        <f t="shared" si="1323"/>
        <v>20000</v>
      </c>
      <c r="AL186" s="344">
        <f t="shared" si="1323"/>
        <v>20000</v>
      </c>
      <c r="AM186" s="344">
        <f t="shared" si="1323"/>
        <v>20000</v>
      </c>
      <c r="AN186" s="345">
        <f t="shared" si="1323"/>
        <v>20000</v>
      </c>
      <c r="AO186" s="344">
        <f t="shared" si="1323"/>
        <v>20000</v>
      </c>
      <c r="AP186" s="344">
        <f t="shared" si="1323"/>
        <v>20000</v>
      </c>
      <c r="AQ186" s="344">
        <f t="shared" si="1323"/>
        <v>20000</v>
      </c>
      <c r="AR186" s="344">
        <f t="shared" si="1323"/>
        <v>20000</v>
      </c>
      <c r="AS186" s="344">
        <f t="shared" si="1323"/>
        <v>20000</v>
      </c>
      <c r="AT186" s="344">
        <f t="shared" si="1323"/>
        <v>20000</v>
      </c>
      <c r="AU186" s="344">
        <f t="shared" si="1323"/>
        <v>20000</v>
      </c>
      <c r="AV186" s="344">
        <f t="shared" si="1323"/>
        <v>20000</v>
      </c>
      <c r="AW186" s="344">
        <f t="shared" si="1323"/>
        <v>20000</v>
      </c>
      <c r="AX186" s="344">
        <f t="shared" si="1323"/>
        <v>20000</v>
      </c>
      <c r="AY186" s="344">
        <f t="shared" si="1323"/>
        <v>20000</v>
      </c>
      <c r="AZ186" s="344">
        <f t="shared" si="1323"/>
        <v>20000</v>
      </c>
      <c r="BA186" s="388">
        <f t="shared" si="1323"/>
        <v>20000</v>
      </c>
      <c r="BB186" s="344">
        <f t="shared" si="1323"/>
        <v>20000</v>
      </c>
      <c r="BC186" s="344">
        <f t="shared" si="1323"/>
        <v>20000</v>
      </c>
      <c r="BD186" s="344">
        <f t="shared" si="1323"/>
        <v>20000</v>
      </c>
      <c r="BE186" s="344">
        <f t="shared" si="1323"/>
        <v>20000</v>
      </c>
      <c r="BF186" s="344">
        <f t="shared" si="1323"/>
        <v>20000</v>
      </c>
      <c r="BG186" s="344">
        <f t="shared" si="1323"/>
        <v>20000</v>
      </c>
      <c r="BH186" s="344">
        <f t="shared" si="1323"/>
        <v>20000</v>
      </c>
      <c r="BI186" s="344">
        <f t="shared" si="1323"/>
        <v>20000</v>
      </c>
      <c r="BJ186" s="344">
        <f t="shared" si="1323"/>
        <v>20000</v>
      </c>
      <c r="BK186" s="344">
        <f t="shared" si="1323"/>
        <v>20000</v>
      </c>
      <c r="BL186" s="345">
        <f t="shared" si="1323"/>
        <v>20000</v>
      </c>
    </row>
    <row r="187" spans="1:65" ht="17" thickBot="1" x14ac:dyDescent="0.3">
      <c r="A187" s="614"/>
      <c r="B187" s="617"/>
      <c r="C187" s="424" t="s">
        <v>507</v>
      </c>
      <c r="D187" s="404" t="s">
        <v>499</v>
      </c>
      <c r="E187" s="386">
        <f>(E186-E185)/E185</f>
        <v>9.6928999144567989</v>
      </c>
      <c r="F187" s="337">
        <f t="shared" ref="F187" si="1324">(F186-F185)/F185</f>
        <v>2.5642999714855996</v>
      </c>
      <c r="G187" s="337">
        <f t="shared" ref="G187" si="1325">(G186-G185)/G185</f>
        <v>0.74331438931696925</v>
      </c>
      <c r="H187" s="337">
        <f t="shared" ref="H187" si="1326">(H186-H185)/H185</f>
        <v>-4.8706240487062402E-2</v>
      </c>
      <c r="I187" s="337">
        <f t="shared" ref="I187" si="1327">(I186-I185)/I185</f>
        <v>-0.41633105702445572</v>
      </c>
      <c r="J187" s="337">
        <f t="shared" ref="J187" si="1328">(J186-J185)/J185</f>
        <v>-0.60936279258726833</v>
      </c>
      <c r="K187" s="337">
        <f t="shared" ref="K187" si="1329">(K186-K185)/K185</f>
        <v>-0.72153069010264381</v>
      </c>
      <c r="L187" s="337">
        <f t="shared" ref="L187" si="1330">(L186-L185)/L185</f>
        <v>-0.80054888945621649</v>
      </c>
      <c r="M187" s="337">
        <f t="shared" ref="M187" si="1331">(M186-M185)/M185</f>
        <v>-0.85440600196697492</v>
      </c>
      <c r="N187" s="337">
        <f t="shared" ref="N187" si="1332">(N186-N185)/N185</f>
        <v>-0.89277076587944326</v>
      </c>
      <c r="O187" s="337">
        <f t="shared" ref="O187" si="1333">(O186-O185)/O185</f>
        <v>-0.92037503359178274</v>
      </c>
      <c r="P187" s="338">
        <f t="shared" ref="P187" si="1334">(P186-P185)/P185</f>
        <v>-0.94363302619908762</v>
      </c>
      <c r="Q187" s="337">
        <f t="shared" ref="Q187" si="1335">(Q186-Q185)/Q185</f>
        <v>-0.95669077934955549</v>
      </c>
      <c r="R187" s="337">
        <f t="shared" ref="R187" si="1336">(R186-R185)/R185</f>
        <v>-0.96505658318907739</v>
      </c>
      <c r="S187" s="337">
        <f t="shared" ref="S187" si="1337">(S186-S185)/S185</f>
        <v>-0.97171009732707725</v>
      </c>
      <c r="T187" s="337">
        <f t="shared" ref="T187" si="1338">(T186-T185)/T185</f>
        <v>-0.97633995809995344</v>
      </c>
      <c r="U187" s="337">
        <f t="shared" ref="U187" si="1339">(U186-U185)/U185</f>
        <v>-0.97974282191945405</v>
      </c>
      <c r="V187" s="337">
        <f t="shared" ref="V187" si="1340">(V186-V185)/V185</f>
        <v>-0.98265902506018188</v>
      </c>
      <c r="W187" s="337">
        <f t="shared" ref="W187" si="1341">(W186-W185)/W185</f>
        <v>-0.98495198789430138</v>
      </c>
      <c r="X187" s="337">
        <f t="shared" ref="X187" si="1342">(X186-X185)/X185</f>
        <v>-0.98675340973668313</v>
      </c>
      <c r="Y187" s="337">
        <f t="shared" ref="Y187" si="1343">(Y186-Y185)/Y185</f>
        <v>-0.98819996065453131</v>
      </c>
      <c r="Z187" s="337">
        <f t="shared" ref="Z187" si="1344">(Z186-Z185)/Z185</f>
        <v>-0.98938958538161714</v>
      </c>
      <c r="AA187" s="337">
        <f t="shared" ref="AA187" si="1345">(AA186-AA185)/AA185</f>
        <v>-0.99124204860693688</v>
      </c>
      <c r="AB187" s="337">
        <f t="shared" ref="AB187" si="1346">(AB186-AB185)/AB185</f>
        <v>-0.99261665600725368</v>
      </c>
      <c r="AC187" s="386">
        <f t="shared" ref="AC187" si="1347">(AC186-AC185)/AC185</f>
        <v>-0.99368227597734515</v>
      </c>
      <c r="AD187" s="337">
        <f t="shared" ref="AD187" si="1348">(AD186-AD185)/AD185</f>
        <v>-0.99501423357818231</v>
      </c>
      <c r="AE187" s="337">
        <f t="shared" ref="AE187" si="1349">(AE186-AE185)/AE185</f>
        <v>-0.99594652924018401</v>
      </c>
      <c r="AF187" s="337">
        <f t="shared" ref="AF187" si="1350">(AF186-AF185)/AF185</f>
        <v>-0.99662463964213588</v>
      </c>
      <c r="AG187" s="337">
        <f t="shared" ref="AG187" si="1351">(AG186-AG185)/AG185</f>
        <v>-0.99714715512479002</v>
      </c>
      <c r="AH187" s="337">
        <f t="shared" ref="AH187" si="1352">(AH186-AH185)/AH185</f>
        <v>-0.99755416651456752</v>
      </c>
      <c r="AI187" s="337">
        <f t="shared" ref="AI187" si="1353">(AI186-AI185)/AI185</f>
        <v>-0.99792397851250969</v>
      </c>
      <c r="AJ187" s="337">
        <f t="shared" ref="AJ187" si="1354">(AJ186-AJ185)/AJ185</f>
        <v>-0.99821293864736893</v>
      </c>
      <c r="AK187" s="337">
        <f t="shared" ref="AK187" si="1355">(AK186-AK185)/AK185</f>
        <v>-0.9984467245823696</v>
      </c>
      <c r="AL187" s="337">
        <f t="shared" ref="AL187" si="1356">(AL186-AL185)/AL185</f>
        <v>-0.99864827232922315</v>
      </c>
      <c r="AM187" s="337">
        <f t="shared" ref="AM187" si="1357">(AM186-AM185)/AM185</f>
        <v>-0.99881350599671148</v>
      </c>
      <c r="AN187" s="338">
        <f t="shared" ref="AN187" si="1358">(AN186-AN185)/AN185</f>
        <v>-0.99895213288037188</v>
      </c>
      <c r="AO187" s="337">
        <f t="shared" ref="AO187" si="1359">(AO186-AO185)/AO185</f>
        <v>-0.99907000937051993</v>
      </c>
      <c r="AP187" s="337">
        <f t="shared" ref="AP187" si="1360">(AP186-AP185)/AP185</f>
        <v>-0.99917170604863836</v>
      </c>
      <c r="AQ187" s="337">
        <f t="shared" ref="AQ187" si="1361">(AQ186-AQ185)/AQ185</f>
        <v>-0.9992605025799487</v>
      </c>
      <c r="AR187" s="337">
        <f t="shared" ref="AR187" si="1362">(AR186-AR185)/AR185</f>
        <v>-0.99933884927296279</v>
      </c>
      <c r="AS187" s="337">
        <f t="shared" ref="AS187" si="1363">(AS186-AS185)/AS185</f>
        <v>-0.99940746336884378</v>
      </c>
      <c r="AT187" s="337">
        <f t="shared" ref="AT187" si="1364">(AT186-AT185)/AT185</f>
        <v>-0.99946810136988651</v>
      </c>
      <c r="AU187" s="337">
        <f t="shared" ref="AU187" si="1365">(AU186-AU185)/AU185</f>
        <v>-0.99952169531521673</v>
      </c>
      <c r="AV187" s="337">
        <f t="shared" ref="AV187" si="1366">(AV186-AV185)/AV185</f>
        <v>-0.99956940475049683</v>
      </c>
      <c r="AW187" s="337">
        <f t="shared" ref="AW187" si="1367">(AW186-AW185)/AW185</f>
        <v>-0.99961202674009697</v>
      </c>
      <c r="AX187" s="337">
        <f t="shared" ref="AX187" si="1368">(AX186-AX185)/AX185</f>
        <v>-0.99965014345426262</v>
      </c>
      <c r="AY187" s="337">
        <f t="shared" ref="AY187" si="1369">(AY186-AY185)/AY185</f>
        <v>-0.99968422932452039</v>
      </c>
      <c r="AZ187" s="337">
        <f t="shared" ref="AZ187" si="1370">(AZ186-AZ185)/AZ185</f>
        <v>-0.99971493397285016</v>
      </c>
      <c r="BA187" s="386">
        <f t="shared" ref="BA187" si="1371">(BA186-BA185)/BA185</f>
        <v>-0.99974253881127362</v>
      </c>
      <c r="BB187" s="337">
        <f t="shared" ref="BB187" si="1372">(BB186-BB185)/BB185</f>
        <v>-0.99976748052346742</v>
      </c>
      <c r="BC187" s="337">
        <f t="shared" ref="BC187" si="1373">(BC186-BC185)/BC185</f>
        <v>-0.99979010704138616</v>
      </c>
      <c r="BD187" s="337">
        <f t="shared" ref="BD187" si="1374">(BD186-BD185)/BD185</f>
        <v>-0.99981057954015684</v>
      </c>
      <c r="BE187" s="337">
        <f t="shared" ref="BE187" si="1375">(BE186-BE185)/BE185</f>
        <v>-0.999829101305308</v>
      </c>
      <c r="BF187" s="337">
        <f t="shared" ref="BF187" si="1376">(BF186-BF185)/BF185</f>
        <v>-0.99984584236476526</v>
      </c>
      <c r="BG187" s="337">
        <f t="shared" ref="BG187" si="1377">(BG186-BG185)/BG185</f>
        <v>-0.99986099524387251</v>
      </c>
      <c r="BH187" s="337">
        <f t="shared" ref="BH187" si="1378">(BH186-BH185)/BH185</f>
        <v>-0.9998747259954095</v>
      </c>
      <c r="BI187" s="337">
        <f t="shared" ref="BI187" si="1379">(BI186-BI185)/BI185</f>
        <v>-0.99988714888224961</v>
      </c>
      <c r="BJ187" s="337">
        <f t="shared" ref="BJ187" si="1380">(BJ186-BJ185)/BJ185</f>
        <v>-0.99989839911031764</v>
      </c>
      <c r="BK187" s="337">
        <f t="shared" ref="BK187" si="1381">(BK186-BK185)/BK185</f>
        <v>-0.99990857493727259</v>
      </c>
      <c r="BL187" s="338">
        <f t="shared" ref="BL187" si="1382">(BL186-BL185)/BL185</f>
        <v>-0.99991777943306837</v>
      </c>
    </row>
    <row r="188" spans="1:65" x14ac:dyDescent="0.25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</row>
    <row r="189" spans="1:65" x14ac:dyDescent="0.2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</row>
    <row r="190" spans="1:65" x14ac:dyDescent="0.25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</row>
    <row r="191" spans="1:65" x14ac:dyDescent="0.25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</row>
    <row r="192" spans="1:65" x14ac:dyDescent="0.25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</row>
    <row r="193" spans="1:65" x14ac:dyDescent="0.25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</row>
    <row r="194" spans="1:65" x14ac:dyDescent="0.2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</row>
    <row r="195" spans="1:65" x14ac:dyDescent="0.25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</row>
    <row r="196" spans="1:65" x14ac:dyDescent="0.25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</row>
    <row r="197" spans="1:65" x14ac:dyDescent="0.25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</row>
    <row r="198" spans="1:65" x14ac:dyDescent="0.25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</row>
    <row r="199" spans="1:65" x14ac:dyDescent="0.25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</row>
    <row r="200" spans="1:65" x14ac:dyDescent="0.25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</row>
    <row r="201" spans="1:65" x14ac:dyDescent="0.25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</row>
    <row r="202" spans="1:65" x14ac:dyDescent="0.25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</row>
    <row r="203" spans="1:65" x14ac:dyDescent="0.25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</row>
    <row r="204" spans="1:65" x14ac:dyDescent="0.25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</row>
    <row r="205" spans="1:65" x14ac:dyDescent="0.25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</row>
    <row r="206" spans="1:65" x14ac:dyDescent="0.25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</row>
    <row r="207" spans="1:65" x14ac:dyDescent="0.25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</row>
    <row r="208" spans="1:65" x14ac:dyDescent="0.25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</row>
    <row r="209" spans="1:65" x14ac:dyDescent="0.25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</row>
    <row r="210" spans="1:65" x14ac:dyDescent="0.25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</row>
    <row r="211" spans="1:65" x14ac:dyDescent="0.25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</row>
    <row r="212" spans="1:65" x14ac:dyDescent="0.25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</row>
    <row r="213" spans="1:65" x14ac:dyDescent="0.25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</row>
    <row r="214" spans="1:65" x14ac:dyDescent="0.25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</row>
    <row r="215" spans="1:65" x14ac:dyDescent="0.25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</row>
    <row r="216" spans="1:65" x14ac:dyDescent="0.25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</row>
    <row r="217" spans="1:65" x14ac:dyDescent="0.25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</row>
    <row r="218" spans="1:65" x14ac:dyDescent="0.2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</row>
    <row r="219" spans="1:65" x14ac:dyDescent="0.25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</row>
    <row r="220" spans="1:65" x14ac:dyDescent="0.25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</row>
    <row r="221" spans="1:65" x14ac:dyDescent="0.25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</row>
    <row r="222" spans="1:65" x14ac:dyDescent="0.25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</row>
    <row r="223" spans="1:65" x14ac:dyDescent="0.25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</row>
    <row r="224" spans="1:65" x14ac:dyDescent="0.25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</row>
    <row r="225" spans="1:65" x14ac:dyDescent="0.25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</row>
    <row r="226" spans="1:65" x14ac:dyDescent="0.25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</row>
    <row r="227" spans="1:65" x14ac:dyDescent="0.25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</row>
    <row r="228" spans="1:65" x14ac:dyDescent="0.25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</row>
    <row r="229" spans="1:65" x14ac:dyDescent="0.25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</row>
    <row r="230" spans="1:65" x14ac:dyDescent="0.25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</row>
    <row r="231" spans="1:65" x14ac:dyDescent="0.25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</row>
    <row r="232" spans="1:65" x14ac:dyDescent="0.25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</row>
    <row r="233" spans="1:65" x14ac:dyDescent="0.25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</row>
    <row r="234" spans="1:65" x14ac:dyDescent="0.25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</row>
    <row r="235" spans="1:65" x14ac:dyDescent="0.25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</row>
    <row r="236" spans="1:65" x14ac:dyDescent="0.25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</row>
    <row r="237" spans="1:65" x14ac:dyDescent="0.25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</row>
    <row r="238" spans="1:65" x14ac:dyDescent="0.25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</row>
    <row r="239" spans="1:65" x14ac:dyDescent="0.25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</row>
    <row r="240" spans="1:65" x14ac:dyDescent="0.25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</row>
    <row r="241" spans="1:65" x14ac:dyDescent="0.25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</row>
    <row r="242" spans="1:65" x14ac:dyDescent="0.25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</row>
    <row r="243" spans="1:65" x14ac:dyDescent="0.25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</row>
    <row r="244" spans="1:65" x14ac:dyDescent="0.25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</row>
    <row r="245" spans="1:65" x14ac:dyDescent="0.25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</row>
    <row r="246" spans="1:65" x14ac:dyDescent="0.25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</row>
    <row r="247" spans="1:65" x14ac:dyDescent="0.25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</row>
    <row r="248" spans="1:65" x14ac:dyDescent="0.25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</row>
    <row r="249" spans="1:65" x14ac:dyDescent="0.25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</row>
    <row r="250" spans="1:65" x14ac:dyDescent="0.25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</row>
    <row r="251" spans="1:65" x14ac:dyDescent="0.25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</row>
    <row r="252" spans="1:65" x14ac:dyDescent="0.25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</row>
    <row r="253" spans="1:65" x14ac:dyDescent="0.25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</row>
    <row r="254" spans="1:65" x14ac:dyDescent="0.25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</row>
    <row r="255" spans="1:65" x14ac:dyDescent="0.25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</row>
    <row r="256" spans="1:65" x14ac:dyDescent="0.25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</row>
    <row r="257" spans="1:65" x14ac:dyDescent="0.25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</row>
    <row r="258" spans="1:65" x14ac:dyDescent="0.25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</row>
    <row r="259" spans="1:65" x14ac:dyDescent="0.25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</row>
    <row r="260" spans="1:65" x14ac:dyDescent="0.25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</row>
    <row r="261" spans="1:65" x14ac:dyDescent="0.25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</row>
    <row r="262" spans="1:65" x14ac:dyDescent="0.25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</row>
    <row r="263" spans="1:65" x14ac:dyDescent="0.25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</row>
    <row r="264" spans="1:65" x14ac:dyDescent="0.25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</row>
    <row r="265" spans="1:65" x14ac:dyDescent="0.25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</row>
    <row r="266" spans="1:65" x14ac:dyDescent="0.25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</row>
    <row r="267" spans="1:65" x14ac:dyDescent="0.25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</row>
    <row r="268" spans="1:65" x14ac:dyDescent="0.25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</row>
    <row r="269" spans="1:65" x14ac:dyDescent="0.25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</row>
    <row r="270" spans="1:65" x14ac:dyDescent="0.25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</row>
    <row r="271" spans="1:65" x14ac:dyDescent="0.25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</row>
    <row r="272" spans="1:65" x14ac:dyDescent="0.25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</row>
    <row r="273" spans="1:65" x14ac:dyDescent="0.25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</row>
    <row r="274" spans="1:65" x14ac:dyDescent="0.25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</row>
    <row r="275" spans="1:65" x14ac:dyDescent="0.25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</row>
    <row r="276" spans="1:65" x14ac:dyDescent="0.25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</row>
    <row r="277" spans="1:65" x14ac:dyDescent="0.25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</row>
    <row r="278" spans="1:65" x14ac:dyDescent="0.25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</row>
    <row r="279" spans="1:65" x14ac:dyDescent="0.25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</row>
    <row r="280" spans="1:65" x14ac:dyDescent="0.25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</row>
    <row r="281" spans="1:65" x14ac:dyDescent="0.25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</row>
    <row r="282" spans="1:65" x14ac:dyDescent="0.25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</row>
    <row r="283" spans="1:65" x14ac:dyDescent="0.25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</row>
    <row r="284" spans="1:65" x14ac:dyDescent="0.25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</row>
    <row r="285" spans="1:65" x14ac:dyDescent="0.25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</row>
    <row r="286" spans="1:65" x14ac:dyDescent="0.25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</row>
    <row r="287" spans="1:65" x14ac:dyDescent="0.25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</row>
    <row r="288" spans="1:65" x14ac:dyDescent="0.25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</row>
    <row r="289" spans="1:65" x14ac:dyDescent="0.25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</row>
    <row r="290" spans="1:65" x14ac:dyDescent="0.25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</row>
    <row r="291" spans="1:65" x14ac:dyDescent="0.25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</row>
    <row r="292" spans="1:65" x14ac:dyDescent="0.25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</row>
    <row r="293" spans="1:65" x14ac:dyDescent="0.25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</row>
    <row r="294" spans="1:65" x14ac:dyDescent="0.25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</row>
    <row r="295" spans="1:65" x14ac:dyDescent="0.25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</row>
    <row r="296" spans="1:65" x14ac:dyDescent="0.25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</row>
    <row r="297" spans="1:65" x14ac:dyDescent="0.25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</row>
    <row r="298" spans="1:65" x14ac:dyDescent="0.25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</row>
    <row r="299" spans="1:65" x14ac:dyDescent="0.25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</row>
    <row r="300" spans="1:65" x14ac:dyDescent="0.25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</row>
    <row r="301" spans="1:65" x14ac:dyDescent="0.25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</row>
    <row r="302" spans="1:65" x14ac:dyDescent="0.25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</row>
    <row r="303" spans="1:65" x14ac:dyDescent="0.25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</row>
    <row r="304" spans="1:65" x14ac:dyDescent="0.25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</row>
    <row r="305" spans="1:65" x14ac:dyDescent="0.25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</row>
    <row r="306" spans="1:65" x14ac:dyDescent="0.25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</row>
    <row r="307" spans="1:65" x14ac:dyDescent="0.25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</row>
    <row r="308" spans="1:65" x14ac:dyDescent="0.25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</row>
    <row r="309" spans="1:65" x14ac:dyDescent="0.25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</row>
    <row r="310" spans="1:65" x14ac:dyDescent="0.25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</row>
    <row r="311" spans="1:65" x14ac:dyDescent="0.25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</row>
    <row r="312" spans="1:65" x14ac:dyDescent="0.25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</row>
    <row r="313" spans="1:65" x14ac:dyDescent="0.25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</row>
    <row r="314" spans="1:65" x14ac:dyDescent="0.25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</row>
    <row r="315" spans="1:65" x14ac:dyDescent="0.25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</row>
    <row r="316" spans="1:65" x14ac:dyDescent="0.25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</row>
    <row r="317" spans="1:65" x14ac:dyDescent="0.25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</row>
    <row r="318" spans="1:65" x14ac:dyDescent="0.25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</row>
    <row r="319" spans="1:65" x14ac:dyDescent="0.25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</row>
    <row r="320" spans="1:65" x14ac:dyDescent="0.25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</row>
    <row r="321" spans="1:65" x14ac:dyDescent="0.25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</row>
    <row r="322" spans="1:65" x14ac:dyDescent="0.25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</row>
    <row r="323" spans="1:65" x14ac:dyDescent="0.25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</row>
    <row r="324" spans="1:65" x14ac:dyDescent="0.25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</row>
  </sheetData>
  <mergeCells count="23">
    <mergeCell ref="A17:A49"/>
    <mergeCell ref="B17:B49"/>
    <mergeCell ref="A149:A181"/>
    <mergeCell ref="B149:B181"/>
    <mergeCell ref="A182:A187"/>
    <mergeCell ref="B182:B187"/>
    <mergeCell ref="A50:A82"/>
    <mergeCell ref="B50:B82"/>
    <mergeCell ref="A83:A115"/>
    <mergeCell ref="B83:B115"/>
    <mergeCell ref="A116:A148"/>
    <mergeCell ref="B116:B148"/>
    <mergeCell ref="AO1:AZ1"/>
    <mergeCell ref="BA1:BL1"/>
    <mergeCell ref="A11:A12"/>
    <mergeCell ref="B11:B12"/>
    <mergeCell ref="A14:A15"/>
    <mergeCell ref="B14:B15"/>
    <mergeCell ref="A3:A10"/>
    <mergeCell ref="B3:B10"/>
    <mergeCell ref="E1:P1"/>
    <mergeCell ref="Q1:AB1"/>
    <mergeCell ref="AC1:AN1"/>
  </mergeCells>
  <conditionalFormatting sqref="E5:BL5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:BL8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6:BL46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9:BL49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2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8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5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4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:BL79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82:BL82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5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4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1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8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2:BL112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15:BL115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03:E104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27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24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21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0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5:BL145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8:BL148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3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6:E13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6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7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63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8:BL17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81:BL18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6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69:E17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3E1DB-A617-514A-8A68-936A568B97F8}">
  <sheetPr>
    <tabColor rgb="FF7030A0"/>
  </sheetPr>
  <dimension ref="A1:R124"/>
  <sheetViews>
    <sheetView showGridLines="0" zoomScale="119" zoomScaleNormal="85" workbookViewId="0">
      <selection activeCell="A2" sqref="A2"/>
    </sheetView>
  </sheetViews>
  <sheetFormatPr baseColWidth="10" defaultColWidth="9.1640625" defaultRowHeight="16" x14ac:dyDescent="0.25"/>
  <cols>
    <col min="1" max="1" width="6.5" style="1" customWidth="1"/>
    <col min="2" max="2" width="14.83203125" style="1" customWidth="1"/>
    <col min="3" max="3" width="13.6640625" style="1" customWidth="1"/>
    <col min="4" max="4" width="18.33203125" style="1" customWidth="1"/>
    <col min="5" max="6" width="11.83203125" style="1" customWidth="1"/>
    <col min="7" max="7" width="12.5" style="1" customWidth="1"/>
    <col min="8" max="9" width="11.83203125" style="1" customWidth="1"/>
    <col min="10" max="10" width="13.5" style="1" customWidth="1"/>
    <col min="11" max="12" width="11.83203125" style="1" customWidth="1"/>
    <col min="13" max="14" width="11.5" style="1" customWidth="1"/>
    <col min="15" max="19" width="10.33203125" style="1" customWidth="1"/>
    <col min="20" max="16384" width="9.1640625" style="1"/>
  </cols>
  <sheetData>
    <row r="1" spans="1:18" s="4" customFormat="1" x14ac:dyDescent="0.25">
      <c r="A1" s="25" t="s">
        <v>637</v>
      </c>
      <c r="B1" s="3"/>
    </row>
    <row r="2" spans="1:18" ht="28" customHeight="1" x14ac:dyDescent="0.35">
      <c r="A2" s="437" cm="1">
        <f t="array" ref="A2:A13">'Spending tracking data'!A3:A14</f>
        <v>1</v>
      </c>
      <c r="B2" s="437" t="str" cm="1">
        <f t="array" ref="B2:B13">'Spending tracking data'!B3:B14</f>
        <v># Workers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</row>
    <row r="3" spans="1:18" x14ac:dyDescent="0.25">
      <c r="A3" s="1">
        <v>0</v>
      </c>
      <c r="B3" s="1">
        <v>0</v>
      </c>
    </row>
    <row r="4" spans="1:18" x14ac:dyDescent="0.25">
      <c r="A4" s="1">
        <v>0</v>
      </c>
      <c r="B4" s="1">
        <v>0</v>
      </c>
    </row>
    <row r="5" spans="1:18" x14ac:dyDescent="0.25">
      <c r="A5" s="1">
        <v>0</v>
      </c>
      <c r="B5" s="1">
        <v>0</v>
      </c>
    </row>
    <row r="6" spans="1:18" x14ac:dyDescent="0.25">
      <c r="A6" s="1">
        <v>0</v>
      </c>
      <c r="B6" s="1">
        <v>0</v>
      </c>
    </row>
    <row r="7" spans="1:18" x14ac:dyDescent="0.25">
      <c r="A7" s="1">
        <v>0</v>
      </c>
      <c r="B7" s="1">
        <v>0</v>
      </c>
    </row>
    <row r="8" spans="1:18" x14ac:dyDescent="0.25">
      <c r="A8" s="1">
        <v>0</v>
      </c>
      <c r="B8" s="1">
        <v>0</v>
      </c>
    </row>
    <row r="9" spans="1:18" x14ac:dyDescent="0.25">
      <c r="A9" s="1">
        <v>0</v>
      </c>
      <c r="B9" s="1">
        <v>0</v>
      </c>
    </row>
    <row r="10" spans="1:18" x14ac:dyDescent="0.25">
      <c r="A10" s="1">
        <v>0</v>
      </c>
      <c r="B10" s="1">
        <v>0</v>
      </c>
    </row>
    <row r="11" spans="1:18" x14ac:dyDescent="0.25">
      <c r="A11" s="1">
        <v>0</v>
      </c>
      <c r="B11" s="1">
        <v>0</v>
      </c>
    </row>
    <row r="12" spans="1:18" x14ac:dyDescent="0.25">
      <c r="A12" s="1">
        <v>0</v>
      </c>
      <c r="B12" s="1">
        <v>0</v>
      </c>
    </row>
    <row r="13" spans="1:18" x14ac:dyDescent="0.25">
      <c r="A13" s="1">
        <v>0</v>
      </c>
      <c r="B13" s="1">
        <v>0</v>
      </c>
    </row>
    <row r="31" spans="1:18" ht="28" customHeight="1" x14ac:dyDescent="0.35">
      <c r="A31" s="437">
        <v>2</v>
      </c>
      <c r="B31" s="437" t="s">
        <v>567</v>
      </c>
      <c r="C31" s="436"/>
      <c r="D31" s="436"/>
      <c r="E31" s="436"/>
      <c r="F31" s="436"/>
      <c r="G31" s="436"/>
      <c r="H31" s="436"/>
      <c r="I31" s="436"/>
      <c r="J31" s="436"/>
      <c r="K31" s="436"/>
      <c r="L31" s="436"/>
      <c r="M31" s="436"/>
      <c r="N31" s="436"/>
      <c r="O31" s="436"/>
      <c r="P31" s="436"/>
      <c r="Q31" s="436"/>
      <c r="R31" s="436"/>
    </row>
    <row r="69" spans="1:18" ht="28" customHeight="1" x14ac:dyDescent="0.35">
      <c r="A69" s="437" t="e" cm="1" vm="1">
        <f t="array" aca="1" ref="A69" ca="1">'Spending tracking data'!A55:A79</f>
        <v>#VALUE!</v>
      </c>
      <c r="B69" s="437" t="str" cm="1">
        <f t="array" ref="B69:B74">'Spending tracking data'!B55:B60</f>
        <v>Cost per entity</v>
      </c>
      <c r="C69" s="436"/>
      <c r="D69" s="436"/>
      <c r="E69" s="436"/>
      <c r="F69" s="436"/>
      <c r="G69" s="436"/>
      <c r="H69" s="436"/>
      <c r="I69" s="436"/>
      <c r="J69" s="436"/>
      <c r="K69" s="436"/>
      <c r="L69" s="436"/>
      <c r="M69" s="436"/>
      <c r="N69" s="436"/>
      <c r="O69" s="436"/>
      <c r="P69" s="436"/>
      <c r="Q69" s="436"/>
      <c r="R69" s="436"/>
    </row>
    <row r="70" spans="1:18" x14ac:dyDescent="0.25">
      <c r="B70" s="1">
        <v>0</v>
      </c>
    </row>
    <row r="71" spans="1:18" x14ac:dyDescent="0.25">
      <c r="B71" s="1">
        <v>0</v>
      </c>
    </row>
    <row r="72" spans="1:18" x14ac:dyDescent="0.25">
      <c r="B72" s="1">
        <v>0</v>
      </c>
    </row>
    <row r="73" spans="1:18" x14ac:dyDescent="0.25">
      <c r="B73" s="1">
        <v>0</v>
      </c>
    </row>
    <row r="74" spans="1:18" x14ac:dyDescent="0.25">
      <c r="B74" s="1">
        <v>0</v>
      </c>
    </row>
    <row r="86" spans="1:18" ht="28" customHeight="1" x14ac:dyDescent="0.35">
      <c r="A86" s="437" cm="1">
        <f t="array" ref="A86:A124">'Spending tracking data'!A80:A118</f>
        <v>4</v>
      </c>
      <c r="B86" s="437" t="str" cm="1">
        <f t="array" ref="B86:B124">'Spending tracking data'!B80:B118</f>
        <v>Expenses</v>
      </c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  <c r="Q86" s="436"/>
      <c r="R86" s="436"/>
    </row>
    <row r="87" spans="1:18" x14ac:dyDescent="0.25">
      <c r="A87" s="1">
        <v>0</v>
      </c>
      <c r="B87" s="1">
        <v>0</v>
      </c>
    </row>
    <row r="88" spans="1:18" x14ac:dyDescent="0.25">
      <c r="A88" s="1">
        <v>0</v>
      </c>
      <c r="B88" s="1">
        <v>0</v>
      </c>
    </row>
    <row r="89" spans="1:18" x14ac:dyDescent="0.25">
      <c r="A89" s="1">
        <v>0</v>
      </c>
      <c r="B89" s="1">
        <v>0</v>
      </c>
    </row>
    <row r="90" spans="1:18" x14ac:dyDescent="0.25">
      <c r="A90" s="1">
        <v>0</v>
      </c>
      <c r="B90" s="1">
        <v>0</v>
      </c>
    </row>
    <row r="91" spans="1:18" x14ac:dyDescent="0.25">
      <c r="A91" s="1">
        <v>0</v>
      </c>
      <c r="B91" s="1">
        <v>0</v>
      </c>
    </row>
    <row r="92" spans="1:18" x14ac:dyDescent="0.25">
      <c r="A92" s="1">
        <v>0</v>
      </c>
      <c r="B92" s="1">
        <v>0</v>
      </c>
    </row>
    <row r="93" spans="1:18" x14ac:dyDescent="0.25">
      <c r="A93" s="1">
        <v>0</v>
      </c>
      <c r="B93" s="1">
        <v>0</v>
      </c>
    </row>
    <row r="94" spans="1:18" x14ac:dyDescent="0.25">
      <c r="A94" s="1">
        <v>0</v>
      </c>
      <c r="B94" s="1">
        <v>0</v>
      </c>
    </row>
    <row r="95" spans="1:18" x14ac:dyDescent="0.25">
      <c r="A95" s="1">
        <v>0</v>
      </c>
      <c r="B95" s="1">
        <v>0</v>
      </c>
    </row>
    <row r="96" spans="1:18" x14ac:dyDescent="0.25">
      <c r="A96" s="1">
        <v>0</v>
      </c>
      <c r="B96" s="1">
        <v>0</v>
      </c>
    </row>
    <row r="97" spans="1:2" x14ac:dyDescent="0.25">
      <c r="A97" s="1">
        <v>0</v>
      </c>
      <c r="B97" s="1">
        <v>0</v>
      </c>
    </row>
    <row r="98" spans="1:2" x14ac:dyDescent="0.25">
      <c r="A98" s="1">
        <v>0</v>
      </c>
      <c r="B98" s="1">
        <v>0</v>
      </c>
    </row>
    <row r="99" spans="1:2" x14ac:dyDescent="0.25">
      <c r="A99" s="1">
        <v>0</v>
      </c>
      <c r="B99" s="1">
        <v>0</v>
      </c>
    </row>
    <row r="100" spans="1:2" x14ac:dyDescent="0.25">
      <c r="A100" s="1">
        <v>0</v>
      </c>
      <c r="B100" s="1">
        <v>0</v>
      </c>
    </row>
    <row r="101" spans="1:2" x14ac:dyDescent="0.25">
      <c r="A101" s="1">
        <v>0</v>
      </c>
      <c r="B101" s="1">
        <v>0</v>
      </c>
    </row>
    <row r="102" spans="1:2" x14ac:dyDescent="0.25">
      <c r="A102" s="1">
        <v>0</v>
      </c>
      <c r="B102" s="1">
        <v>0</v>
      </c>
    </row>
    <row r="103" spans="1:2" x14ac:dyDescent="0.25">
      <c r="A103" s="1">
        <v>0</v>
      </c>
      <c r="B103" s="1">
        <v>0</v>
      </c>
    </row>
    <row r="104" spans="1:2" x14ac:dyDescent="0.25">
      <c r="A104" s="1">
        <v>0</v>
      </c>
      <c r="B104" s="1">
        <v>0</v>
      </c>
    </row>
    <row r="105" spans="1:2" x14ac:dyDescent="0.25">
      <c r="A105" s="1">
        <v>0</v>
      </c>
      <c r="B105" s="1">
        <v>0</v>
      </c>
    </row>
    <row r="106" spans="1:2" x14ac:dyDescent="0.25">
      <c r="A106" s="1">
        <v>0</v>
      </c>
      <c r="B106" s="1">
        <v>0</v>
      </c>
    </row>
    <row r="107" spans="1:2" x14ac:dyDescent="0.25">
      <c r="A107" s="1">
        <v>0</v>
      </c>
      <c r="B107" s="1">
        <v>0</v>
      </c>
    </row>
    <row r="108" spans="1:2" x14ac:dyDescent="0.25">
      <c r="A108" s="1">
        <v>0</v>
      </c>
      <c r="B108" s="1">
        <v>0</v>
      </c>
    </row>
    <row r="109" spans="1:2" x14ac:dyDescent="0.25">
      <c r="A109" s="1">
        <v>0</v>
      </c>
      <c r="B109" s="1">
        <v>0</v>
      </c>
    </row>
    <row r="110" spans="1:2" x14ac:dyDescent="0.25">
      <c r="A110" s="1">
        <v>0</v>
      </c>
      <c r="B110" s="1">
        <v>0</v>
      </c>
    </row>
    <row r="111" spans="1:2" x14ac:dyDescent="0.25">
      <c r="A111" s="1">
        <v>0</v>
      </c>
      <c r="B111" s="1">
        <v>0</v>
      </c>
    </row>
    <row r="112" spans="1:2" x14ac:dyDescent="0.25">
      <c r="A112" s="1">
        <v>0</v>
      </c>
      <c r="B112" s="1">
        <v>0</v>
      </c>
    </row>
    <row r="113" spans="1:2" x14ac:dyDescent="0.25">
      <c r="A113" s="1">
        <v>0</v>
      </c>
      <c r="B113" s="1">
        <v>0</v>
      </c>
    </row>
    <row r="114" spans="1:2" x14ac:dyDescent="0.25">
      <c r="A114" s="1">
        <v>0</v>
      </c>
      <c r="B114" s="1">
        <v>0</v>
      </c>
    </row>
    <row r="115" spans="1:2" x14ac:dyDescent="0.25">
      <c r="A115" s="1">
        <v>0</v>
      </c>
      <c r="B115" s="1">
        <v>0</v>
      </c>
    </row>
    <row r="116" spans="1:2" x14ac:dyDescent="0.25">
      <c r="A116" s="1">
        <v>0</v>
      </c>
      <c r="B116" s="1">
        <v>0</v>
      </c>
    </row>
    <row r="117" spans="1:2" x14ac:dyDescent="0.25">
      <c r="A117" s="1">
        <v>0</v>
      </c>
      <c r="B117" s="1">
        <v>0</v>
      </c>
    </row>
    <row r="118" spans="1:2" x14ac:dyDescent="0.25">
      <c r="A118" s="1">
        <v>0</v>
      </c>
      <c r="B118" s="1">
        <v>0</v>
      </c>
    </row>
    <row r="119" spans="1:2" x14ac:dyDescent="0.25">
      <c r="A119" s="1">
        <v>0</v>
      </c>
      <c r="B119" s="1">
        <v>0</v>
      </c>
    </row>
    <row r="120" spans="1:2" x14ac:dyDescent="0.25">
      <c r="A120" s="1">
        <v>0</v>
      </c>
      <c r="B120" s="1">
        <v>0</v>
      </c>
    </row>
    <row r="121" spans="1:2" x14ac:dyDescent="0.25">
      <c r="A121" s="1">
        <v>0</v>
      </c>
      <c r="B121" s="1">
        <v>0</v>
      </c>
    </row>
    <row r="122" spans="1:2" x14ac:dyDescent="0.25">
      <c r="A122" s="1">
        <v>0</v>
      </c>
      <c r="B122" s="1">
        <v>0</v>
      </c>
    </row>
    <row r="123" spans="1:2" x14ac:dyDescent="0.25">
      <c r="A123" s="1">
        <v>0</v>
      </c>
      <c r="B123" s="1">
        <v>0</v>
      </c>
    </row>
    <row r="124" spans="1:2" x14ac:dyDescent="0.25">
      <c r="A124" s="1">
        <v>0</v>
      </c>
      <c r="B124" s="1">
        <v>0</v>
      </c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38962-1A8C-D243-A8F7-4FA894F2E402}">
  <sheetPr>
    <tabColor rgb="FF7030A0"/>
  </sheetPr>
  <dimension ref="A1:BM118"/>
  <sheetViews>
    <sheetView showGridLines="0" zoomScaleNormal="85" workbookViewId="0">
      <pane xSplit="4" ySplit="2" topLeftCell="E70" activePane="bottomRight" state="frozen"/>
      <selection pane="topRight" activeCell="E1" sqref="E1"/>
      <selection pane="bottomLeft" activeCell="A3" sqref="A3"/>
      <selection pane="bottomRight" activeCell="D22" sqref="D22"/>
    </sheetView>
  </sheetViews>
  <sheetFormatPr baseColWidth="10" defaultColWidth="9.1640625" defaultRowHeight="16" x14ac:dyDescent="0.25"/>
  <cols>
    <col min="1" max="1" width="9.1640625" style="1" customWidth="1"/>
    <col min="2" max="2" width="14.83203125" style="1" customWidth="1"/>
    <col min="3" max="3" width="19.6640625" style="1" customWidth="1"/>
    <col min="4" max="4" width="35.33203125" style="1" bestFit="1" customWidth="1"/>
    <col min="5" max="6" width="11.83203125" style="1" customWidth="1"/>
    <col min="7" max="7" width="12.5" style="1" customWidth="1"/>
    <col min="8" max="9" width="11.83203125" style="1" customWidth="1"/>
    <col min="10" max="10" width="12" style="1" customWidth="1"/>
    <col min="11" max="12" width="11.83203125" style="1" customWidth="1"/>
    <col min="13" max="14" width="11.5" style="1" customWidth="1"/>
    <col min="15" max="19" width="10.33203125" style="1" customWidth="1"/>
    <col min="20" max="16384" width="9.1640625" style="1"/>
  </cols>
  <sheetData>
    <row r="1" spans="1:65" s="4" customFormat="1" x14ac:dyDescent="0.25">
      <c r="A1" s="25" t="s">
        <v>557</v>
      </c>
      <c r="B1" s="3"/>
      <c r="C1" s="476"/>
      <c r="D1" s="492"/>
      <c r="E1" s="593">
        <v>2020</v>
      </c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5"/>
      <c r="Q1" s="592">
        <v>2021</v>
      </c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3">
        <v>2022</v>
      </c>
      <c r="AD1" s="594"/>
      <c r="AE1" s="594"/>
      <c r="AF1" s="594"/>
      <c r="AG1" s="594"/>
      <c r="AH1" s="594"/>
      <c r="AI1" s="594"/>
      <c r="AJ1" s="594"/>
      <c r="AK1" s="594"/>
      <c r="AL1" s="594"/>
      <c r="AM1" s="594"/>
      <c r="AN1" s="595"/>
      <c r="AO1" s="592">
        <v>2023</v>
      </c>
      <c r="AP1" s="592"/>
      <c r="AQ1" s="592"/>
      <c r="AR1" s="592"/>
      <c r="AS1" s="592"/>
      <c r="AT1" s="592"/>
      <c r="AU1" s="592"/>
      <c r="AV1" s="592"/>
      <c r="AW1" s="592"/>
      <c r="AX1" s="592"/>
      <c r="AY1" s="592"/>
      <c r="AZ1" s="592"/>
      <c r="BA1" s="593">
        <v>2024</v>
      </c>
      <c r="BB1" s="594"/>
      <c r="BC1" s="594"/>
      <c r="BD1" s="594"/>
      <c r="BE1" s="594"/>
      <c r="BF1" s="594"/>
      <c r="BG1" s="594"/>
      <c r="BH1" s="594"/>
      <c r="BI1" s="594"/>
      <c r="BJ1" s="594"/>
      <c r="BK1" s="594"/>
      <c r="BL1" s="595"/>
    </row>
    <row r="2" spans="1:65" s="320" customFormat="1" ht="17" thickBot="1" x14ac:dyDescent="0.3">
      <c r="B2" s="321" t="s">
        <v>495</v>
      </c>
      <c r="C2" s="477" t="s">
        <v>496</v>
      </c>
      <c r="D2" s="493" t="s">
        <v>504</v>
      </c>
      <c r="E2" s="376">
        <f>TURNOVER!C43</f>
        <v>43831</v>
      </c>
      <c r="F2" s="377">
        <f>TURNOVER!D43</f>
        <v>43862</v>
      </c>
      <c r="G2" s="377">
        <f>TURNOVER!E43</f>
        <v>43891</v>
      </c>
      <c r="H2" s="377">
        <f>TURNOVER!F43</f>
        <v>43922</v>
      </c>
      <c r="I2" s="377">
        <f>TURNOVER!G43</f>
        <v>43952</v>
      </c>
      <c r="J2" s="377">
        <f>TURNOVER!H43</f>
        <v>43983</v>
      </c>
      <c r="K2" s="377">
        <f>TURNOVER!I43</f>
        <v>44013</v>
      </c>
      <c r="L2" s="377">
        <f>TURNOVER!J43</f>
        <v>44044</v>
      </c>
      <c r="M2" s="377">
        <f>TURNOVER!K43</f>
        <v>44075</v>
      </c>
      <c r="N2" s="377">
        <f>TURNOVER!L43</f>
        <v>44105</v>
      </c>
      <c r="O2" s="377">
        <f>TURNOVER!M43</f>
        <v>44136</v>
      </c>
      <c r="P2" s="378">
        <f>TURNOVER!N43</f>
        <v>44166</v>
      </c>
      <c r="Q2" s="322">
        <f>TURNOVER!O43</f>
        <v>44197</v>
      </c>
      <c r="R2" s="322">
        <f>TURNOVER!P43</f>
        <v>44228</v>
      </c>
      <c r="S2" s="322">
        <f>TURNOVER!Q43</f>
        <v>44256</v>
      </c>
      <c r="T2" s="322">
        <f>TURNOVER!R43</f>
        <v>44287</v>
      </c>
      <c r="U2" s="322">
        <f>TURNOVER!S43</f>
        <v>44317</v>
      </c>
      <c r="V2" s="322">
        <f>TURNOVER!T43</f>
        <v>44348</v>
      </c>
      <c r="W2" s="322">
        <f>TURNOVER!U43</f>
        <v>44378</v>
      </c>
      <c r="X2" s="322">
        <f>TURNOVER!V43</f>
        <v>44409</v>
      </c>
      <c r="Y2" s="322">
        <f>TURNOVER!W43</f>
        <v>44440</v>
      </c>
      <c r="Z2" s="322">
        <f>TURNOVER!X43</f>
        <v>44470</v>
      </c>
      <c r="AA2" s="322">
        <f>TURNOVER!Y43</f>
        <v>44501</v>
      </c>
      <c r="AB2" s="322">
        <f>TURNOVER!Z43</f>
        <v>44531</v>
      </c>
      <c r="AC2" s="376">
        <f>TURNOVER!AA43</f>
        <v>44562</v>
      </c>
      <c r="AD2" s="377">
        <f>TURNOVER!AB43</f>
        <v>44593</v>
      </c>
      <c r="AE2" s="377">
        <f>TURNOVER!AC43</f>
        <v>44621</v>
      </c>
      <c r="AF2" s="377">
        <f>TURNOVER!AD43</f>
        <v>44652</v>
      </c>
      <c r="AG2" s="377">
        <f>TURNOVER!AE43</f>
        <v>44682</v>
      </c>
      <c r="AH2" s="377">
        <f>TURNOVER!AF43</f>
        <v>44713</v>
      </c>
      <c r="AI2" s="377">
        <f>TURNOVER!AG43</f>
        <v>44743</v>
      </c>
      <c r="AJ2" s="377">
        <f>TURNOVER!AH43</f>
        <v>44774</v>
      </c>
      <c r="AK2" s="377">
        <f>TURNOVER!AI43</f>
        <v>44805</v>
      </c>
      <c r="AL2" s="377">
        <f>TURNOVER!AJ43</f>
        <v>44835</v>
      </c>
      <c r="AM2" s="377">
        <f>TURNOVER!AK43</f>
        <v>44866</v>
      </c>
      <c r="AN2" s="378">
        <f>TURNOVER!AL43</f>
        <v>44896</v>
      </c>
      <c r="AO2" s="322">
        <f>TURNOVER!AM43</f>
        <v>44927</v>
      </c>
      <c r="AP2" s="322">
        <f>TURNOVER!AN43</f>
        <v>44958</v>
      </c>
      <c r="AQ2" s="322">
        <f>TURNOVER!AO43</f>
        <v>44986</v>
      </c>
      <c r="AR2" s="322">
        <f>TURNOVER!AP43</f>
        <v>45017</v>
      </c>
      <c r="AS2" s="322">
        <f>TURNOVER!AQ43</f>
        <v>45047</v>
      </c>
      <c r="AT2" s="322">
        <f>TURNOVER!AR43</f>
        <v>45078</v>
      </c>
      <c r="AU2" s="322">
        <f>TURNOVER!AS43</f>
        <v>45108</v>
      </c>
      <c r="AV2" s="322">
        <f>TURNOVER!AT43</f>
        <v>45139</v>
      </c>
      <c r="AW2" s="322">
        <f>TURNOVER!AU43</f>
        <v>45170</v>
      </c>
      <c r="AX2" s="322">
        <f>TURNOVER!AV43</f>
        <v>45200</v>
      </c>
      <c r="AY2" s="322">
        <f>TURNOVER!AW43</f>
        <v>45231</v>
      </c>
      <c r="AZ2" s="322">
        <f>TURNOVER!AX43</f>
        <v>45261</v>
      </c>
      <c r="BA2" s="376">
        <f>TURNOVER!AY43</f>
        <v>45292</v>
      </c>
      <c r="BB2" s="377">
        <f>TURNOVER!AZ43</f>
        <v>45323</v>
      </c>
      <c r="BC2" s="377">
        <f>TURNOVER!BA43</f>
        <v>45352</v>
      </c>
      <c r="BD2" s="377">
        <f>TURNOVER!BB43</f>
        <v>45383</v>
      </c>
      <c r="BE2" s="377">
        <f>TURNOVER!BC43</f>
        <v>45413</v>
      </c>
      <c r="BF2" s="377">
        <f>TURNOVER!BD43</f>
        <v>45444</v>
      </c>
      <c r="BG2" s="377">
        <f>TURNOVER!BE43</f>
        <v>45474</v>
      </c>
      <c r="BH2" s="377">
        <f>TURNOVER!BF43</f>
        <v>45505</v>
      </c>
      <c r="BI2" s="377">
        <f>TURNOVER!BG43</f>
        <v>45536</v>
      </c>
      <c r="BJ2" s="377">
        <f>TURNOVER!BH43</f>
        <v>45566</v>
      </c>
      <c r="BK2" s="377">
        <f>TURNOVER!BI43</f>
        <v>45597</v>
      </c>
      <c r="BL2" s="378">
        <f>TURNOVER!BJ43</f>
        <v>45627</v>
      </c>
      <c r="BM2" s="322"/>
    </row>
    <row r="3" spans="1:65" x14ac:dyDescent="0.25">
      <c r="A3" s="630">
        <v>1</v>
      </c>
      <c r="B3" s="633" t="s">
        <v>35</v>
      </c>
      <c r="C3" s="482" t="s">
        <v>497</v>
      </c>
      <c r="D3" s="405" t="s">
        <v>35</v>
      </c>
      <c r="E3" s="423">
        <f>'Payroll 2020'!B19</f>
        <v>8</v>
      </c>
      <c r="F3" s="329">
        <f>'Payroll 2020'!C19</f>
        <v>8</v>
      </c>
      <c r="G3" s="329">
        <f>'Payroll 2020'!D19</f>
        <v>8</v>
      </c>
      <c r="H3" s="329">
        <f>'Payroll 2020'!E19</f>
        <v>8</v>
      </c>
      <c r="I3" s="329">
        <f>'Payroll 2020'!F19</f>
        <v>8</v>
      </c>
      <c r="J3" s="329">
        <f>'Payroll 2020'!G19</f>
        <v>8</v>
      </c>
      <c r="K3" s="329">
        <f>'Payroll 2020'!H19</f>
        <v>8</v>
      </c>
      <c r="L3" s="329">
        <f>'Payroll 2020'!I19</f>
        <v>16</v>
      </c>
      <c r="M3" s="329">
        <f>'Payroll 2020'!J19</f>
        <v>23</v>
      </c>
      <c r="N3" s="329">
        <f>'Payroll 2020'!K19</f>
        <v>34</v>
      </c>
      <c r="O3" s="329">
        <f>'Payroll 2020'!L19</f>
        <v>38</v>
      </c>
      <c r="P3" s="422">
        <f>'Payroll 2020'!M19</f>
        <v>38</v>
      </c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423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422"/>
      <c r="AO3" s="329"/>
      <c r="AP3" s="329"/>
      <c r="AQ3" s="329"/>
      <c r="AR3" s="329"/>
      <c r="AS3" s="329"/>
      <c r="AT3" s="329"/>
      <c r="AU3" s="329"/>
      <c r="AV3" s="329"/>
      <c r="AW3" s="329"/>
      <c r="AX3" s="329"/>
      <c r="AY3" s="329"/>
      <c r="AZ3" s="329"/>
      <c r="BA3" s="423"/>
      <c r="BB3" s="329"/>
      <c r="BC3" s="329"/>
      <c r="BD3" s="329"/>
      <c r="BE3" s="329"/>
      <c r="BF3" s="329"/>
      <c r="BG3" s="329"/>
      <c r="BH3" s="329"/>
      <c r="BI3" s="329"/>
      <c r="BJ3" s="329"/>
      <c r="BK3" s="329"/>
      <c r="BL3" s="422"/>
    </row>
    <row r="4" spans="1:65" x14ac:dyDescent="0.25">
      <c r="A4" s="631"/>
      <c r="B4" s="634"/>
      <c r="C4" s="478" t="s">
        <v>497</v>
      </c>
      <c r="D4" s="402" t="str">
        <f>'Payroll 2020'!A16</f>
        <v>Full-Time</v>
      </c>
      <c r="E4" s="399">
        <f>'Payroll 2020'!B16</f>
        <v>8</v>
      </c>
      <c r="F4" s="53">
        <f>'Payroll 2020'!C16</f>
        <v>8</v>
      </c>
      <c r="G4" s="53">
        <f>'Payroll 2020'!D16</f>
        <v>8</v>
      </c>
      <c r="H4" s="53">
        <f>'Payroll 2020'!E16</f>
        <v>8</v>
      </c>
      <c r="I4" s="53">
        <f>'Payroll 2020'!F16</f>
        <v>8</v>
      </c>
      <c r="J4" s="53">
        <f>'Payroll 2020'!G16</f>
        <v>8</v>
      </c>
      <c r="K4" s="53">
        <f>'Payroll 2020'!H16</f>
        <v>8</v>
      </c>
      <c r="L4" s="53">
        <f>'Payroll 2020'!I16</f>
        <v>12</v>
      </c>
      <c r="M4" s="53">
        <f>'Payroll 2020'!J16</f>
        <v>17</v>
      </c>
      <c r="N4" s="53">
        <f>'Payroll 2020'!K16</f>
        <v>24</v>
      </c>
      <c r="O4" s="53">
        <f>'Payroll 2020'!L16</f>
        <v>28</v>
      </c>
      <c r="P4" s="352">
        <f>'Payroll 2020'!M16</f>
        <v>28</v>
      </c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399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352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399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352"/>
    </row>
    <row r="5" spans="1:65" x14ac:dyDescent="0.25">
      <c r="A5" s="631"/>
      <c r="B5" s="634"/>
      <c r="C5" s="478" t="s">
        <v>497</v>
      </c>
      <c r="D5" s="402" t="str">
        <f>'Payroll 2020'!A17</f>
        <v>Part-Time</v>
      </c>
      <c r="E5" s="399">
        <f>'Payroll 2020'!B17</f>
        <v>0</v>
      </c>
      <c r="F5" s="53">
        <f>'Payroll 2020'!C17</f>
        <v>0</v>
      </c>
      <c r="G5" s="53">
        <f>'Payroll 2020'!D17</f>
        <v>0</v>
      </c>
      <c r="H5" s="53">
        <f>'Payroll 2020'!E17</f>
        <v>0</v>
      </c>
      <c r="I5" s="53">
        <f>'Payroll 2020'!F17</f>
        <v>0</v>
      </c>
      <c r="J5" s="53">
        <f>'Payroll 2020'!G17</f>
        <v>0</v>
      </c>
      <c r="K5" s="53">
        <f>'Payroll 2020'!H17</f>
        <v>0</v>
      </c>
      <c r="L5" s="53">
        <f>'Payroll 2020'!I17</f>
        <v>0</v>
      </c>
      <c r="M5" s="53">
        <f>'Payroll 2020'!J17</f>
        <v>0</v>
      </c>
      <c r="N5" s="53">
        <f>'Payroll 2020'!K17</f>
        <v>0</v>
      </c>
      <c r="O5" s="53">
        <f>'Payroll 2020'!L17</f>
        <v>0</v>
      </c>
      <c r="P5" s="352">
        <f>'Payroll 2020'!M17</f>
        <v>0</v>
      </c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399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352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399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352"/>
    </row>
    <row r="6" spans="1:65" x14ac:dyDescent="0.25">
      <c r="A6" s="631"/>
      <c r="B6" s="634"/>
      <c r="C6" s="478" t="s">
        <v>497</v>
      </c>
      <c r="D6" s="402" t="str">
        <f>'Payroll 2020'!A18</f>
        <v>Contractors</v>
      </c>
      <c r="E6" s="399">
        <f>'Payroll 2020'!B18</f>
        <v>0</v>
      </c>
      <c r="F6" s="53">
        <f>'Payroll 2020'!C18</f>
        <v>0</v>
      </c>
      <c r="G6" s="53">
        <f>'Payroll 2020'!D18</f>
        <v>0</v>
      </c>
      <c r="H6" s="53">
        <f>'Payroll 2020'!E18</f>
        <v>0</v>
      </c>
      <c r="I6" s="53">
        <f>'Payroll 2020'!F18</f>
        <v>0</v>
      </c>
      <c r="J6" s="53">
        <f>'Payroll 2020'!G18</f>
        <v>0</v>
      </c>
      <c r="K6" s="53">
        <f>'Payroll 2020'!H18</f>
        <v>0</v>
      </c>
      <c r="L6" s="53">
        <f>'Payroll 2020'!I18</f>
        <v>4</v>
      </c>
      <c r="M6" s="53">
        <f>'Payroll 2020'!J18</f>
        <v>6</v>
      </c>
      <c r="N6" s="53">
        <f>'Payroll 2020'!K18</f>
        <v>10</v>
      </c>
      <c r="O6" s="53">
        <f>'Payroll 2020'!L18</f>
        <v>10</v>
      </c>
      <c r="P6" s="352">
        <f>'Payroll 2020'!M18</f>
        <v>10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399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352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399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352"/>
    </row>
    <row r="7" spans="1:65" x14ac:dyDescent="0.25">
      <c r="A7" s="631"/>
      <c r="B7" s="634"/>
      <c r="C7" s="478" t="s">
        <v>498</v>
      </c>
      <c r="D7" s="402" t="str">
        <f>D3</f>
        <v># Workers</v>
      </c>
      <c r="E7" s="381">
        <f>SUM(E8:E10)</f>
        <v>9</v>
      </c>
      <c r="F7" s="324">
        <f t="shared" ref="F7:BL7" si="0">SUM(F8:F10)</f>
        <v>9</v>
      </c>
      <c r="G7" s="324">
        <f t="shared" si="0"/>
        <v>9</v>
      </c>
      <c r="H7" s="324">
        <f t="shared" si="0"/>
        <v>0</v>
      </c>
      <c r="I7" s="324">
        <f t="shared" si="0"/>
        <v>0</v>
      </c>
      <c r="J7" s="324">
        <f t="shared" si="0"/>
        <v>0</v>
      </c>
      <c r="K7" s="324">
        <f t="shared" si="0"/>
        <v>0</v>
      </c>
      <c r="L7" s="324">
        <f t="shared" si="0"/>
        <v>0</v>
      </c>
      <c r="M7" s="324">
        <f t="shared" si="0"/>
        <v>0</v>
      </c>
      <c r="N7" s="324">
        <f t="shared" si="0"/>
        <v>0</v>
      </c>
      <c r="O7" s="324">
        <f t="shared" si="0"/>
        <v>0</v>
      </c>
      <c r="P7" s="332">
        <f t="shared" si="0"/>
        <v>0</v>
      </c>
      <c r="Q7" s="324">
        <f t="shared" si="0"/>
        <v>0</v>
      </c>
      <c r="R7" s="324">
        <f t="shared" si="0"/>
        <v>0</v>
      </c>
      <c r="S7" s="324">
        <f t="shared" si="0"/>
        <v>0</v>
      </c>
      <c r="T7" s="324">
        <f t="shared" si="0"/>
        <v>0</v>
      </c>
      <c r="U7" s="324">
        <f t="shared" si="0"/>
        <v>0</v>
      </c>
      <c r="V7" s="324">
        <f t="shared" si="0"/>
        <v>0</v>
      </c>
      <c r="W7" s="324">
        <f t="shared" si="0"/>
        <v>0</v>
      </c>
      <c r="X7" s="324">
        <f t="shared" si="0"/>
        <v>0</v>
      </c>
      <c r="Y7" s="324">
        <f t="shared" si="0"/>
        <v>0</v>
      </c>
      <c r="Z7" s="324">
        <f t="shared" si="0"/>
        <v>0</v>
      </c>
      <c r="AA7" s="324">
        <f t="shared" si="0"/>
        <v>0</v>
      </c>
      <c r="AB7" s="324">
        <f t="shared" si="0"/>
        <v>0</v>
      </c>
      <c r="AC7" s="381">
        <f t="shared" si="0"/>
        <v>0</v>
      </c>
      <c r="AD7" s="324">
        <f t="shared" si="0"/>
        <v>0</v>
      </c>
      <c r="AE7" s="324">
        <f t="shared" si="0"/>
        <v>0</v>
      </c>
      <c r="AF7" s="324">
        <f t="shared" si="0"/>
        <v>0</v>
      </c>
      <c r="AG7" s="324">
        <f t="shared" si="0"/>
        <v>0</v>
      </c>
      <c r="AH7" s="324">
        <f t="shared" si="0"/>
        <v>0</v>
      </c>
      <c r="AI7" s="324">
        <f t="shared" si="0"/>
        <v>0</v>
      </c>
      <c r="AJ7" s="324">
        <f t="shared" si="0"/>
        <v>0</v>
      </c>
      <c r="AK7" s="324">
        <f t="shared" si="0"/>
        <v>0</v>
      </c>
      <c r="AL7" s="324">
        <f t="shared" si="0"/>
        <v>0</v>
      </c>
      <c r="AM7" s="324">
        <f t="shared" si="0"/>
        <v>0</v>
      </c>
      <c r="AN7" s="332">
        <f t="shared" si="0"/>
        <v>0</v>
      </c>
      <c r="AO7" s="324">
        <f t="shared" si="0"/>
        <v>0</v>
      </c>
      <c r="AP7" s="324">
        <f t="shared" si="0"/>
        <v>0</v>
      </c>
      <c r="AQ7" s="324">
        <f t="shared" si="0"/>
        <v>0</v>
      </c>
      <c r="AR7" s="324">
        <f t="shared" si="0"/>
        <v>0</v>
      </c>
      <c r="AS7" s="324">
        <f t="shared" si="0"/>
        <v>0</v>
      </c>
      <c r="AT7" s="324">
        <f t="shared" si="0"/>
        <v>0</v>
      </c>
      <c r="AU7" s="324">
        <f t="shared" si="0"/>
        <v>0</v>
      </c>
      <c r="AV7" s="324">
        <f t="shared" si="0"/>
        <v>0</v>
      </c>
      <c r="AW7" s="324">
        <f t="shared" si="0"/>
        <v>0</v>
      </c>
      <c r="AX7" s="324">
        <f t="shared" si="0"/>
        <v>0</v>
      </c>
      <c r="AY7" s="324">
        <f t="shared" si="0"/>
        <v>0</v>
      </c>
      <c r="AZ7" s="324">
        <f t="shared" si="0"/>
        <v>0</v>
      </c>
      <c r="BA7" s="381">
        <f t="shared" si="0"/>
        <v>0</v>
      </c>
      <c r="BB7" s="324">
        <f t="shared" si="0"/>
        <v>0</v>
      </c>
      <c r="BC7" s="324">
        <f t="shared" si="0"/>
        <v>0</v>
      </c>
      <c r="BD7" s="324">
        <f t="shared" si="0"/>
        <v>0</v>
      </c>
      <c r="BE7" s="324">
        <f t="shared" si="0"/>
        <v>0</v>
      </c>
      <c r="BF7" s="324">
        <f t="shared" si="0"/>
        <v>0</v>
      </c>
      <c r="BG7" s="324">
        <f t="shared" si="0"/>
        <v>0</v>
      </c>
      <c r="BH7" s="324">
        <f t="shared" si="0"/>
        <v>0</v>
      </c>
      <c r="BI7" s="324">
        <f t="shared" si="0"/>
        <v>0</v>
      </c>
      <c r="BJ7" s="324">
        <f t="shared" si="0"/>
        <v>0</v>
      </c>
      <c r="BK7" s="324">
        <f t="shared" si="0"/>
        <v>0</v>
      </c>
      <c r="BL7" s="332">
        <f t="shared" si="0"/>
        <v>0</v>
      </c>
    </row>
    <row r="8" spans="1:65" x14ac:dyDescent="0.25">
      <c r="A8" s="631"/>
      <c r="B8" s="634"/>
      <c r="C8" s="478" t="s">
        <v>498</v>
      </c>
      <c r="D8" s="402" t="str">
        <f t="shared" ref="D8:D10" si="1">D4</f>
        <v>Full-Time</v>
      </c>
      <c r="E8" s="381">
        <v>8</v>
      </c>
      <c r="F8" s="324">
        <v>8</v>
      </c>
      <c r="G8" s="324">
        <v>8</v>
      </c>
      <c r="H8" s="324"/>
      <c r="I8" s="324"/>
      <c r="J8" s="324"/>
      <c r="K8" s="324"/>
      <c r="L8" s="324"/>
      <c r="M8" s="324"/>
      <c r="N8" s="324"/>
      <c r="O8" s="324"/>
      <c r="P8" s="332"/>
      <c r="Q8" s="324"/>
      <c r="R8" s="324"/>
      <c r="S8" s="324"/>
      <c r="T8" s="324"/>
      <c r="U8" s="324"/>
      <c r="V8" s="324"/>
      <c r="W8" s="324"/>
      <c r="X8" s="324"/>
      <c r="Y8" s="324"/>
      <c r="Z8" s="324"/>
      <c r="AA8" s="324"/>
      <c r="AB8" s="324"/>
      <c r="AC8" s="381"/>
      <c r="AD8" s="324"/>
      <c r="AE8" s="324"/>
      <c r="AF8" s="324"/>
      <c r="AG8" s="324"/>
      <c r="AH8" s="324"/>
      <c r="AI8" s="324"/>
      <c r="AJ8" s="324"/>
      <c r="AK8" s="324"/>
      <c r="AL8" s="324"/>
      <c r="AM8" s="324"/>
      <c r="AN8" s="332"/>
      <c r="AO8" s="324"/>
      <c r="AP8" s="324"/>
      <c r="AQ8" s="324"/>
      <c r="AR8" s="324"/>
      <c r="AS8" s="324"/>
      <c r="AT8" s="324"/>
      <c r="AU8" s="324"/>
      <c r="AV8" s="324"/>
      <c r="AW8" s="324"/>
      <c r="AX8" s="324"/>
      <c r="AY8" s="324"/>
      <c r="AZ8" s="324"/>
      <c r="BA8" s="381"/>
      <c r="BB8" s="324"/>
      <c r="BC8" s="324"/>
      <c r="BD8" s="324"/>
      <c r="BE8" s="324"/>
      <c r="BF8" s="324"/>
      <c r="BG8" s="324"/>
      <c r="BH8" s="324"/>
      <c r="BI8" s="324"/>
      <c r="BJ8" s="324"/>
      <c r="BK8" s="324"/>
      <c r="BL8" s="332"/>
    </row>
    <row r="9" spans="1:65" x14ac:dyDescent="0.25">
      <c r="A9" s="631"/>
      <c r="B9" s="634"/>
      <c r="C9" s="478" t="s">
        <v>498</v>
      </c>
      <c r="D9" s="402" t="str">
        <f t="shared" si="1"/>
        <v>Part-Time</v>
      </c>
      <c r="E9" s="381">
        <v>1</v>
      </c>
      <c r="F9" s="324">
        <v>1</v>
      </c>
      <c r="G9" s="324">
        <v>1</v>
      </c>
      <c r="H9" s="324"/>
      <c r="I9" s="324"/>
      <c r="J9" s="324"/>
      <c r="K9" s="324"/>
      <c r="L9" s="324"/>
      <c r="M9" s="324"/>
      <c r="N9" s="324"/>
      <c r="O9" s="324"/>
      <c r="P9" s="332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81"/>
      <c r="AD9" s="324"/>
      <c r="AE9" s="324"/>
      <c r="AF9" s="324"/>
      <c r="AG9" s="324"/>
      <c r="AH9" s="324"/>
      <c r="AI9" s="324"/>
      <c r="AJ9" s="324"/>
      <c r="AK9" s="324"/>
      <c r="AL9" s="324"/>
      <c r="AM9" s="324"/>
      <c r="AN9" s="332"/>
      <c r="AO9" s="324"/>
      <c r="AP9" s="324"/>
      <c r="AQ9" s="324"/>
      <c r="AR9" s="324"/>
      <c r="AS9" s="324"/>
      <c r="AT9" s="324"/>
      <c r="AU9" s="324"/>
      <c r="AV9" s="324"/>
      <c r="AW9" s="324"/>
      <c r="AX9" s="324"/>
      <c r="AY9" s="324"/>
      <c r="AZ9" s="324"/>
      <c r="BA9" s="381"/>
      <c r="BB9" s="324"/>
      <c r="BC9" s="324"/>
      <c r="BD9" s="324"/>
      <c r="BE9" s="324"/>
      <c r="BF9" s="324"/>
      <c r="BG9" s="324"/>
      <c r="BH9" s="324"/>
      <c r="BI9" s="324"/>
      <c r="BJ9" s="324"/>
      <c r="BK9" s="324"/>
      <c r="BL9" s="332"/>
    </row>
    <row r="10" spans="1:65" x14ac:dyDescent="0.25">
      <c r="A10" s="631"/>
      <c r="B10" s="634"/>
      <c r="C10" s="478" t="s">
        <v>498</v>
      </c>
      <c r="D10" s="402" t="str">
        <f t="shared" si="1"/>
        <v>Contractors</v>
      </c>
      <c r="E10" s="381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32"/>
      <c r="Q10" s="324"/>
      <c r="R10" s="324"/>
      <c r="S10" s="324"/>
      <c r="T10" s="324"/>
      <c r="U10" s="324"/>
      <c r="V10" s="324"/>
      <c r="W10" s="324"/>
      <c r="X10" s="324"/>
      <c r="Y10" s="324"/>
      <c r="Z10" s="324"/>
      <c r="AA10" s="324"/>
      <c r="AB10" s="324"/>
      <c r="AC10" s="381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32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24"/>
      <c r="AZ10" s="324"/>
      <c r="BA10" s="381"/>
      <c r="BB10" s="324"/>
      <c r="BC10" s="324"/>
      <c r="BD10" s="324"/>
      <c r="BE10" s="324"/>
      <c r="BF10" s="324"/>
      <c r="BG10" s="324"/>
      <c r="BH10" s="324"/>
      <c r="BI10" s="324"/>
      <c r="BJ10" s="324"/>
      <c r="BK10" s="324"/>
      <c r="BL10" s="332"/>
    </row>
    <row r="11" spans="1:65" x14ac:dyDescent="0.25">
      <c r="A11" s="631"/>
      <c r="B11" s="634"/>
      <c r="C11" s="416" t="s">
        <v>507</v>
      </c>
      <c r="D11" s="402" t="str">
        <f>D7</f>
        <v># Workers</v>
      </c>
      <c r="E11" s="394">
        <f>E7-E3</f>
        <v>1</v>
      </c>
      <c r="F11" s="353">
        <f t="shared" ref="F11:BL11" si="2">F7-F3</f>
        <v>1</v>
      </c>
      <c r="G11" s="353">
        <f t="shared" si="2"/>
        <v>1</v>
      </c>
      <c r="H11" s="353">
        <f t="shared" si="2"/>
        <v>-8</v>
      </c>
      <c r="I11" s="353">
        <f t="shared" si="2"/>
        <v>-8</v>
      </c>
      <c r="J11" s="353">
        <f t="shared" si="2"/>
        <v>-8</v>
      </c>
      <c r="K11" s="353">
        <f t="shared" si="2"/>
        <v>-8</v>
      </c>
      <c r="L11" s="353">
        <f t="shared" si="2"/>
        <v>-16</v>
      </c>
      <c r="M11" s="353">
        <f t="shared" si="2"/>
        <v>-23</v>
      </c>
      <c r="N11" s="353">
        <f t="shared" si="2"/>
        <v>-34</v>
      </c>
      <c r="O11" s="353">
        <f t="shared" si="2"/>
        <v>-38</v>
      </c>
      <c r="P11" s="354">
        <f t="shared" si="2"/>
        <v>-38</v>
      </c>
      <c r="Q11" s="353">
        <f t="shared" si="2"/>
        <v>0</v>
      </c>
      <c r="R11" s="353">
        <f t="shared" si="2"/>
        <v>0</v>
      </c>
      <c r="S11" s="353">
        <f t="shared" si="2"/>
        <v>0</v>
      </c>
      <c r="T11" s="353">
        <f t="shared" si="2"/>
        <v>0</v>
      </c>
      <c r="U11" s="353">
        <f t="shared" si="2"/>
        <v>0</v>
      </c>
      <c r="V11" s="353">
        <f t="shared" si="2"/>
        <v>0</v>
      </c>
      <c r="W11" s="353">
        <f t="shared" si="2"/>
        <v>0</v>
      </c>
      <c r="X11" s="353">
        <f t="shared" si="2"/>
        <v>0</v>
      </c>
      <c r="Y11" s="353">
        <f t="shared" si="2"/>
        <v>0</v>
      </c>
      <c r="Z11" s="353">
        <f t="shared" si="2"/>
        <v>0</v>
      </c>
      <c r="AA11" s="353">
        <f t="shared" si="2"/>
        <v>0</v>
      </c>
      <c r="AB11" s="353">
        <f t="shared" si="2"/>
        <v>0</v>
      </c>
      <c r="AC11" s="394">
        <f t="shared" si="2"/>
        <v>0</v>
      </c>
      <c r="AD11" s="353">
        <f t="shared" si="2"/>
        <v>0</v>
      </c>
      <c r="AE11" s="353">
        <f t="shared" si="2"/>
        <v>0</v>
      </c>
      <c r="AF11" s="353">
        <f t="shared" si="2"/>
        <v>0</v>
      </c>
      <c r="AG11" s="353">
        <f t="shared" si="2"/>
        <v>0</v>
      </c>
      <c r="AH11" s="353">
        <f t="shared" si="2"/>
        <v>0</v>
      </c>
      <c r="AI11" s="353">
        <f t="shared" si="2"/>
        <v>0</v>
      </c>
      <c r="AJ11" s="353">
        <f t="shared" si="2"/>
        <v>0</v>
      </c>
      <c r="AK11" s="353">
        <f t="shared" si="2"/>
        <v>0</v>
      </c>
      <c r="AL11" s="353">
        <f t="shared" si="2"/>
        <v>0</v>
      </c>
      <c r="AM11" s="353">
        <f t="shared" si="2"/>
        <v>0</v>
      </c>
      <c r="AN11" s="354">
        <f t="shared" si="2"/>
        <v>0</v>
      </c>
      <c r="AO11" s="353">
        <f t="shared" si="2"/>
        <v>0</v>
      </c>
      <c r="AP11" s="353">
        <f t="shared" si="2"/>
        <v>0</v>
      </c>
      <c r="AQ11" s="353">
        <f t="shared" si="2"/>
        <v>0</v>
      </c>
      <c r="AR11" s="353">
        <f t="shared" si="2"/>
        <v>0</v>
      </c>
      <c r="AS11" s="353">
        <f t="shared" si="2"/>
        <v>0</v>
      </c>
      <c r="AT11" s="353">
        <f t="shared" si="2"/>
        <v>0</v>
      </c>
      <c r="AU11" s="353">
        <f t="shared" si="2"/>
        <v>0</v>
      </c>
      <c r="AV11" s="353">
        <f t="shared" si="2"/>
        <v>0</v>
      </c>
      <c r="AW11" s="353">
        <f t="shared" si="2"/>
        <v>0</v>
      </c>
      <c r="AX11" s="353">
        <f t="shared" si="2"/>
        <v>0</v>
      </c>
      <c r="AY11" s="353">
        <f t="shared" si="2"/>
        <v>0</v>
      </c>
      <c r="AZ11" s="353">
        <f t="shared" si="2"/>
        <v>0</v>
      </c>
      <c r="BA11" s="394">
        <f t="shared" si="2"/>
        <v>0</v>
      </c>
      <c r="BB11" s="353">
        <f t="shared" si="2"/>
        <v>0</v>
      </c>
      <c r="BC11" s="353">
        <f t="shared" si="2"/>
        <v>0</v>
      </c>
      <c r="BD11" s="353">
        <f t="shared" si="2"/>
        <v>0</v>
      </c>
      <c r="BE11" s="353">
        <f t="shared" si="2"/>
        <v>0</v>
      </c>
      <c r="BF11" s="353">
        <f t="shared" si="2"/>
        <v>0</v>
      </c>
      <c r="BG11" s="353">
        <f t="shared" si="2"/>
        <v>0</v>
      </c>
      <c r="BH11" s="353">
        <f t="shared" si="2"/>
        <v>0</v>
      </c>
      <c r="BI11" s="353">
        <f t="shared" si="2"/>
        <v>0</v>
      </c>
      <c r="BJ11" s="353">
        <f t="shared" si="2"/>
        <v>0</v>
      </c>
      <c r="BK11" s="353">
        <f t="shared" si="2"/>
        <v>0</v>
      </c>
      <c r="BL11" s="354">
        <f t="shared" si="2"/>
        <v>0</v>
      </c>
    </row>
    <row r="12" spans="1:65" x14ac:dyDescent="0.25">
      <c r="A12" s="631"/>
      <c r="B12" s="634"/>
      <c r="C12" s="416" t="s">
        <v>507</v>
      </c>
      <c r="D12" s="402" t="str">
        <f t="shared" ref="D12:D14" si="3">D8</f>
        <v>Full-Time</v>
      </c>
      <c r="E12" s="394">
        <f t="shared" ref="E12:E14" si="4">E8-E4</f>
        <v>0</v>
      </c>
      <c r="F12" s="353">
        <f t="shared" ref="F12:BL12" si="5">F8-F4</f>
        <v>0</v>
      </c>
      <c r="G12" s="353">
        <f t="shared" si="5"/>
        <v>0</v>
      </c>
      <c r="H12" s="353">
        <f t="shared" si="5"/>
        <v>-8</v>
      </c>
      <c r="I12" s="353">
        <f t="shared" si="5"/>
        <v>-8</v>
      </c>
      <c r="J12" s="353">
        <f t="shared" si="5"/>
        <v>-8</v>
      </c>
      <c r="K12" s="353">
        <f t="shared" si="5"/>
        <v>-8</v>
      </c>
      <c r="L12" s="353">
        <f t="shared" si="5"/>
        <v>-12</v>
      </c>
      <c r="M12" s="353">
        <f t="shared" si="5"/>
        <v>-17</v>
      </c>
      <c r="N12" s="353">
        <f t="shared" si="5"/>
        <v>-24</v>
      </c>
      <c r="O12" s="353">
        <f t="shared" si="5"/>
        <v>-28</v>
      </c>
      <c r="P12" s="354">
        <f t="shared" si="5"/>
        <v>-28</v>
      </c>
      <c r="Q12" s="353">
        <f t="shared" si="5"/>
        <v>0</v>
      </c>
      <c r="R12" s="353">
        <f t="shared" si="5"/>
        <v>0</v>
      </c>
      <c r="S12" s="353">
        <f t="shared" si="5"/>
        <v>0</v>
      </c>
      <c r="T12" s="353">
        <f t="shared" si="5"/>
        <v>0</v>
      </c>
      <c r="U12" s="353">
        <f t="shared" si="5"/>
        <v>0</v>
      </c>
      <c r="V12" s="353">
        <f t="shared" si="5"/>
        <v>0</v>
      </c>
      <c r="W12" s="353">
        <f t="shared" si="5"/>
        <v>0</v>
      </c>
      <c r="X12" s="353">
        <f t="shared" si="5"/>
        <v>0</v>
      </c>
      <c r="Y12" s="353">
        <f t="shared" si="5"/>
        <v>0</v>
      </c>
      <c r="Z12" s="353">
        <f t="shared" si="5"/>
        <v>0</v>
      </c>
      <c r="AA12" s="353">
        <f t="shared" si="5"/>
        <v>0</v>
      </c>
      <c r="AB12" s="353">
        <f t="shared" si="5"/>
        <v>0</v>
      </c>
      <c r="AC12" s="394">
        <f t="shared" si="5"/>
        <v>0</v>
      </c>
      <c r="AD12" s="353">
        <f t="shared" si="5"/>
        <v>0</v>
      </c>
      <c r="AE12" s="353">
        <f t="shared" si="5"/>
        <v>0</v>
      </c>
      <c r="AF12" s="353">
        <f t="shared" si="5"/>
        <v>0</v>
      </c>
      <c r="AG12" s="353">
        <f t="shared" si="5"/>
        <v>0</v>
      </c>
      <c r="AH12" s="353">
        <f t="shared" si="5"/>
        <v>0</v>
      </c>
      <c r="AI12" s="353">
        <f t="shared" si="5"/>
        <v>0</v>
      </c>
      <c r="AJ12" s="353">
        <f t="shared" si="5"/>
        <v>0</v>
      </c>
      <c r="AK12" s="353">
        <f t="shared" si="5"/>
        <v>0</v>
      </c>
      <c r="AL12" s="353">
        <f t="shared" si="5"/>
        <v>0</v>
      </c>
      <c r="AM12" s="353">
        <f t="shared" si="5"/>
        <v>0</v>
      </c>
      <c r="AN12" s="354">
        <f t="shared" si="5"/>
        <v>0</v>
      </c>
      <c r="AO12" s="353">
        <f t="shared" si="5"/>
        <v>0</v>
      </c>
      <c r="AP12" s="353">
        <f t="shared" si="5"/>
        <v>0</v>
      </c>
      <c r="AQ12" s="353">
        <f t="shared" si="5"/>
        <v>0</v>
      </c>
      <c r="AR12" s="353">
        <f t="shared" si="5"/>
        <v>0</v>
      </c>
      <c r="AS12" s="353">
        <f t="shared" si="5"/>
        <v>0</v>
      </c>
      <c r="AT12" s="353">
        <f t="shared" si="5"/>
        <v>0</v>
      </c>
      <c r="AU12" s="353">
        <f t="shared" si="5"/>
        <v>0</v>
      </c>
      <c r="AV12" s="353">
        <f t="shared" si="5"/>
        <v>0</v>
      </c>
      <c r="AW12" s="353">
        <f t="shared" si="5"/>
        <v>0</v>
      </c>
      <c r="AX12" s="353">
        <f t="shared" si="5"/>
        <v>0</v>
      </c>
      <c r="AY12" s="353">
        <f t="shared" si="5"/>
        <v>0</v>
      </c>
      <c r="AZ12" s="353">
        <f t="shared" si="5"/>
        <v>0</v>
      </c>
      <c r="BA12" s="394">
        <f t="shared" si="5"/>
        <v>0</v>
      </c>
      <c r="BB12" s="353">
        <f t="shared" si="5"/>
        <v>0</v>
      </c>
      <c r="BC12" s="353">
        <f t="shared" si="5"/>
        <v>0</v>
      </c>
      <c r="BD12" s="353">
        <f t="shared" si="5"/>
        <v>0</v>
      </c>
      <c r="BE12" s="353">
        <f t="shared" si="5"/>
        <v>0</v>
      </c>
      <c r="BF12" s="353">
        <f t="shared" si="5"/>
        <v>0</v>
      </c>
      <c r="BG12" s="353">
        <f t="shared" si="5"/>
        <v>0</v>
      </c>
      <c r="BH12" s="353">
        <f t="shared" si="5"/>
        <v>0</v>
      </c>
      <c r="BI12" s="353">
        <f t="shared" si="5"/>
        <v>0</v>
      </c>
      <c r="BJ12" s="353">
        <f t="shared" si="5"/>
        <v>0</v>
      </c>
      <c r="BK12" s="353">
        <f t="shared" si="5"/>
        <v>0</v>
      </c>
      <c r="BL12" s="354">
        <f t="shared" si="5"/>
        <v>0</v>
      </c>
    </row>
    <row r="13" spans="1:65" x14ac:dyDescent="0.25">
      <c r="A13" s="631"/>
      <c r="B13" s="634"/>
      <c r="C13" s="416" t="s">
        <v>507</v>
      </c>
      <c r="D13" s="402" t="str">
        <f t="shared" si="3"/>
        <v>Part-Time</v>
      </c>
      <c r="E13" s="394">
        <f t="shared" si="4"/>
        <v>1</v>
      </c>
      <c r="F13" s="353">
        <f t="shared" ref="F13:BL13" si="6">F9-F5</f>
        <v>1</v>
      </c>
      <c r="G13" s="353">
        <f t="shared" si="6"/>
        <v>1</v>
      </c>
      <c r="H13" s="353">
        <f t="shared" si="6"/>
        <v>0</v>
      </c>
      <c r="I13" s="353">
        <f t="shared" si="6"/>
        <v>0</v>
      </c>
      <c r="J13" s="353">
        <f t="shared" si="6"/>
        <v>0</v>
      </c>
      <c r="K13" s="353">
        <f t="shared" si="6"/>
        <v>0</v>
      </c>
      <c r="L13" s="353">
        <f t="shared" si="6"/>
        <v>0</v>
      </c>
      <c r="M13" s="353">
        <f t="shared" si="6"/>
        <v>0</v>
      </c>
      <c r="N13" s="353">
        <f t="shared" si="6"/>
        <v>0</v>
      </c>
      <c r="O13" s="353">
        <f t="shared" si="6"/>
        <v>0</v>
      </c>
      <c r="P13" s="354">
        <f t="shared" si="6"/>
        <v>0</v>
      </c>
      <c r="Q13" s="353">
        <f t="shared" si="6"/>
        <v>0</v>
      </c>
      <c r="R13" s="353">
        <f t="shared" si="6"/>
        <v>0</v>
      </c>
      <c r="S13" s="353">
        <f t="shared" si="6"/>
        <v>0</v>
      </c>
      <c r="T13" s="353">
        <f t="shared" si="6"/>
        <v>0</v>
      </c>
      <c r="U13" s="353">
        <f t="shared" si="6"/>
        <v>0</v>
      </c>
      <c r="V13" s="353">
        <f t="shared" si="6"/>
        <v>0</v>
      </c>
      <c r="W13" s="353">
        <f t="shared" si="6"/>
        <v>0</v>
      </c>
      <c r="X13" s="353">
        <f t="shared" si="6"/>
        <v>0</v>
      </c>
      <c r="Y13" s="353">
        <f t="shared" si="6"/>
        <v>0</v>
      </c>
      <c r="Z13" s="353">
        <f t="shared" si="6"/>
        <v>0</v>
      </c>
      <c r="AA13" s="353">
        <f t="shared" si="6"/>
        <v>0</v>
      </c>
      <c r="AB13" s="353">
        <f t="shared" si="6"/>
        <v>0</v>
      </c>
      <c r="AC13" s="394">
        <f t="shared" si="6"/>
        <v>0</v>
      </c>
      <c r="AD13" s="353">
        <f t="shared" si="6"/>
        <v>0</v>
      </c>
      <c r="AE13" s="353">
        <f t="shared" si="6"/>
        <v>0</v>
      </c>
      <c r="AF13" s="353">
        <f t="shared" si="6"/>
        <v>0</v>
      </c>
      <c r="AG13" s="353">
        <f t="shared" si="6"/>
        <v>0</v>
      </c>
      <c r="AH13" s="353">
        <f t="shared" si="6"/>
        <v>0</v>
      </c>
      <c r="AI13" s="353">
        <f t="shared" si="6"/>
        <v>0</v>
      </c>
      <c r="AJ13" s="353">
        <f t="shared" si="6"/>
        <v>0</v>
      </c>
      <c r="AK13" s="353">
        <f t="shared" si="6"/>
        <v>0</v>
      </c>
      <c r="AL13" s="353">
        <f t="shared" si="6"/>
        <v>0</v>
      </c>
      <c r="AM13" s="353">
        <f t="shared" si="6"/>
        <v>0</v>
      </c>
      <c r="AN13" s="354">
        <f t="shared" si="6"/>
        <v>0</v>
      </c>
      <c r="AO13" s="353">
        <f t="shared" si="6"/>
        <v>0</v>
      </c>
      <c r="AP13" s="353">
        <f t="shared" si="6"/>
        <v>0</v>
      </c>
      <c r="AQ13" s="353">
        <f t="shared" si="6"/>
        <v>0</v>
      </c>
      <c r="AR13" s="353">
        <f t="shared" si="6"/>
        <v>0</v>
      </c>
      <c r="AS13" s="353">
        <f t="shared" si="6"/>
        <v>0</v>
      </c>
      <c r="AT13" s="353">
        <f t="shared" si="6"/>
        <v>0</v>
      </c>
      <c r="AU13" s="353">
        <f t="shared" si="6"/>
        <v>0</v>
      </c>
      <c r="AV13" s="353">
        <f t="shared" si="6"/>
        <v>0</v>
      </c>
      <c r="AW13" s="353">
        <f t="shared" si="6"/>
        <v>0</v>
      </c>
      <c r="AX13" s="353">
        <f t="shared" si="6"/>
        <v>0</v>
      </c>
      <c r="AY13" s="353">
        <f t="shared" si="6"/>
        <v>0</v>
      </c>
      <c r="AZ13" s="353">
        <f t="shared" si="6"/>
        <v>0</v>
      </c>
      <c r="BA13" s="394">
        <f t="shared" si="6"/>
        <v>0</v>
      </c>
      <c r="BB13" s="353">
        <f t="shared" si="6"/>
        <v>0</v>
      </c>
      <c r="BC13" s="353">
        <f t="shared" si="6"/>
        <v>0</v>
      </c>
      <c r="BD13" s="353">
        <f t="shared" si="6"/>
        <v>0</v>
      </c>
      <c r="BE13" s="353">
        <f t="shared" si="6"/>
        <v>0</v>
      </c>
      <c r="BF13" s="353">
        <f t="shared" si="6"/>
        <v>0</v>
      </c>
      <c r="BG13" s="353">
        <f t="shared" si="6"/>
        <v>0</v>
      </c>
      <c r="BH13" s="353">
        <f t="shared" si="6"/>
        <v>0</v>
      </c>
      <c r="BI13" s="353">
        <f t="shared" si="6"/>
        <v>0</v>
      </c>
      <c r="BJ13" s="353">
        <f t="shared" si="6"/>
        <v>0</v>
      </c>
      <c r="BK13" s="353">
        <f t="shared" si="6"/>
        <v>0</v>
      </c>
      <c r="BL13" s="354">
        <f t="shared" si="6"/>
        <v>0</v>
      </c>
    </row>
    <row r="14" spans="1:65" ht="17" thickBot="1" x14ac:dyDescent="0.3">
      <c r="A14" s="632"/>
      <c r="B14" s="635"/>
      <c r="C14" s="483" t="s">
        <v>507</v>
      </c>
      <c r="D14" s="404" t="str">
        <f t="shared" si="3"/>
        <v>Contractors</v>
      </c>
      <c r="E14" s="519">
        <f t="shared" si="4"/>
        <v>0</v>
      </c>
      <c r="F14" s="520">
        <f t="shared" ref="F14:BL14" si="7">F10-F6</f>
        <v>0</v>
      </c>
      <c r="G14" s="520">
        <f t="shared" si="7"/>
        <v>0</v>
      </c>
      <c r="H14" s="520">
        <f t="shared" si="7"/>
        <v>0</v>
      </c>
      <c r="I14" s="520">
        <f t="shared" si="7"/>
        <v>0</v>
      </c>
      <c r="J14" s="520">
        <f t="shared" si="7"/>
        <v>0</v>
      </c>
      <c r="K14" s="520">
        <f t="shared" si="7"/>
        <v>0</v>
      </c>
      <c r="L14" s="520">
        <f t="shared" si="7"/>
        <v>-4</v>
      </c>
      <c r="M14" s="520">
        <f t="shared" si="7"/>
        <v>-6</v>
      </c>
      <c r="N14" s="520">
        <f t="shared" si="7"/>
        <v>-10</v>
      </c>
      <c r="O14" s="520">
        <f t="shared" si="7"/>
        <v>-10</v>
      </c>
      <c r="P14" s="521">
        <f t="shared" si="7"/>
        <v>-10</v>
      </c>
      <c r="Q14" s="520">
        <f t="shared" si="7"/>
        <v>0</v>
      </c>
      <c r="R14" s="520">
        <f t="shared" si="7"/>
        <v>0</v>
      </c>
      <c r="S14" s="520">
        <f t="shared" si="7"/>
        <v>0</v>
      </c>
      <c r="T14" s="520">
        <f t="shared" si="7"/>
        <v>0</v>
      </c>
      <c r="U14" s="520">
        <f t="shared" si="7"/>
        <v>0</v>
      </c>
      <c r="V14" s="520">
        <f t="shared" si="7"/>
        <v>0</v>
      </c>
      <c r="W14" s="520">
        <f t="shared" si="7"/>
        <v>0</v>
      </c>
      <c r="X14" s="520">
        <f t="shared" si="7"/>
        <v>0</v>
      </c>
      <c r="Y14" s="520">
        <f t="shared" si="7"/>
        <v>0</v>
      </c>
      <c r="Z14" s="520">
        <f t="shared" si="7"/>
        <v>0</v>
      </c>
      <c r="AA14" s="520">
        <f t="shared" si="7"/>
        <v>0</v>
      </c>
      <c r="AB14" s="520">
        <f t="shared" si="7"/>
        <v>0</v>
      </c>
      <c r="AC14" s="519">
        <f t="shared" si="7"/>
        <v>0</v>
      </c>
      <c r="AD14" s="520">
        <f t="shared" si="7"/>
        <v>0</v>
      </c>
      <c r="AE14" s="520">
        <f t="shared" si="7"/>
        <v>0</v>
      </c>
      <c r="AF14" s="520">
        <f t="shared" si="7"/>
        <v>0</v>
      </c>
      <c r="AG14" s="520">
        <f t="shared" si="7"/>
        <v>0</v>
      </c>
      <c r="AH14" s="520">
        <f t="shared" si="7"/>
        <v>0</v>
      </c>
      <c r="AI14" s="520">
        <f t="shared" si="7"/>
        <v>0</v>
      </c>
      <c r="AJ14" s="520">
        <f t="shared" si="7"/>
        <v>0</v>
      </c>
      <c r="AK14" s="520">
        <f t="shared" si="7"/>
        <v>0</v>
      </c>
      <c r="AL14" s="520">
        <f t="shared" si="7"/>
        <v>0</v>
      </c>
      <c r="AM14" s="520">
        <f t="shared" si="7"/>
        <v>0</v>
      </c>
      <c r="AN14" s="521">
        <f t="shared" si="7"/>
        <v>0</v>
      </c>
      <c r="AO14" s="520">
        <f t="shared" si="7"/>
        <v>0</v>
      </c>
      <c r="AP14" s="520">
        <f t="shared" si="7"/>
        <v>0</v>
      </c>
      <c r="AQ14" s="520">
        <f t="shared" si="7"/>
        <v>0</v>
      </c>
      <c r="AR14" s="520">
        <f t="shared" si="7"/>
        <v>0</v>
      </c>
      <c r="AS14" s="520">
        <f t="shared" si="7"/>
        <v>0</v>
      </c>
      <c r="AT14" s="520">
        <f t="shared" si="7"/>
        <v>0</v>
      </c>
      <c r="AU14" s="520">
        <f t="shared" si="7"/>
        <v>0</v>
      </c>
      <c r="AV14" s="520">
        <f t="shared" si="7"/>
        <v>0</v>
      </c>
      <c r="AW14" s="520">
        <f t="shared" si="7"/>
        <v>0</v>
      </c>
      <c r="AX14" s="520">
        <f t="shared" si="7"/>
        <v>0</v>
      </c>
      <c r="AY14" s="520">
        <f t="shared" si="7"/>
        <v>0</v>
      </c>
      <c r="AZ14" s="520">
        <f t="shared" si="7"/>
        <v>0</v>
      </c>
      <c r="BA14" s="519">
        <f t="shared" si="7"/>
        <v>0</v>
      </c>
      <c r="BB14" s="520">
        <f t="shared" si="7"/>
        <v>0</v>
      </c>
      <c r="BC14" s="520">
        <f t="shared" si="7"/>
        <v>0</v>
      </c>
      <c r="BD14" s="520">
        <f t="shared" si="7"/>
        <v>0</v>
      </c>
      <c r="BE14" s="520">
        <f t="shared" si="7"/>
        <v>0</v>
      </c>
      <c r="BF14" s="520">
        <f t="shared" si="7"/>
        <v>0</v>
      </c>
      <c r="BG14" s="520">
        <f t="shared" si="7"/>
        <v>0</v>
      </c>
      <c r="BH14" s="520">
        <f t="shared" si="7"/>
        <v>0</v>
      </c>
      <c r="BI14" s="520">
        <f t="shared" si="7"/>
        <v>0</v>
      </c>
      <c r="BJ14" s="520">
        <f t="shared" si="7"/>
        <v>0</v>
      </c>
      <c r="BK14" s="520">
        <f t="shared" si="7"/>
        <v>0</v>
      </c>
      <c r="BL14" s="521">
        <f t="shared" si="7"/>
        <v>0</v>
      </c>
    </row>
    <row r="15" spans="1:65" x14ac:dyDescent="0.25">
      <c r="A15" s="624">
        <v>2</v>
      </c>
      <c r="B15" s="621" t="s">
        <v>567</v>
      </c>
      <c r="C15" s="482" t="s">
        <v>497</v>
      </c>
      <c r="D15" s="405" t="s">
        <v>559</v>
      </c>
      <c r="E15" s="430">
        <f>'Payroll 2020'!B31</f>
        <v>49128</v>
      </c>
      <c r="F15" s="431">
        <f>'Payroll 2020'!C31</f>
        <v>42720</v>
      </c>
      <c r="G15" s="431">
        <f>'Payroll 2020'!D31</f>
        <v>46992</v>
      </c>
      <c r="H15" s="431">
        <f>'Payroll 2020'!E31</f>
        <v>46992</v>
      </c>
      <c r="I15" s="431">
        <f>'Payroll 2020'!F31</f>
        <v>44856</v>
      </c>
      <c r="J15" s="431">
        <f>'Payroll 2020'!G31</f>
        <v>46992</v>
      </c>
      <c r="K15" s="431">
        <f>'Payroll 2020'!H31</f>
        <v>49128</v>
      </c>
      <c r="L15" s="431">
        <f>'Payroll 2020'!I31</f>
        <v>65100</v>
      </c>
      <c r="M15" s="431">
        <f>'Payroll 2020'!J31</f>
        <v>98368</v>
      </c>
      <c r="N15" s="431">
        <f>'Payroll 2020'!K31</f>
        <v>127776</v>
      </c>
      <c r="O15" s="431">
        <f>'Payroll 2020'!L31</f>
        <v>139360</v>
      </c>
      <c r="P15" s="432">
        <f>'Payroll 2020'!M31</f>
        <v>151616</v>
      </c>
      <c r="Q15" s="329"/>
      <c r="R15" s="329"/>
      <c r="S15" s="329"/>
      <c r="T15" s="329"/>
      <c r="U15" s="329"/>
      <c r="V15" s="329"/>
      <c r="W15" s="329"/>
      <c r="X15" s="329"/>
      <c r="Y15" s="329"/>
      <c r="Z15" s="329"/>
      <c r="AA15" s="329"/>
      <c r="AB15" s="329"/>
      <c r="AC15" s="423"/>
      <c r="AD15" s="329"/>
      <c r="AE15" s="329"/>
      <c r="AF15" s="329"/>
      <c r="AG15" s="329"/>
      <c r="AH15" s="329"/>
      <c r="AI15" s="329"/>
      <c r="AJ15" s="329"/>
      <c r="AK15" s="329"/>
      <c r="AL15" s="329"/>
      <c r="AM15" s="329"/>
      <c r="AN15" s="422"/>
      <c r="AO15" s="329"/>
      <c r="AP15" s="329"/>
      <c r="AQ15" s="329"/>
      <c r="AR15" s="329"/>
      <c r="AS15" s="329"/>
      <c r="AT15" s="329"/>
      <c r="AU15" s="329"/>
      <c r="AV15" s="329"/>
      <c r="AW15" s="329"/>
      <c r="AX15" s="329"/>
      <c r="AY15" s="329"/>
      <c r="AZ15" s="329"/>
      <c r="BA15" s="423"/>
      <c r="BB15" s="329"/>
      <c r="BC15" s="329"/>
      <c r="BD15" s="329"/>
      <c r="BE15" s="329"/>
      <c r="BF15" s="329"/>
      <c r="BG15" s="329"/>
      <c r="BH15" s="329"/>
      <c r="BI15" s="329"/>
      <c r="BJ15" s="329"/>
      <c r="BK15" s="329"/>
      <c r="BL15" s="422"/>
    </row>
    <row r="16" spans="1:65" x14ac:dyDescent="0.25">
      <c r="A16" s="625"/>
      <c r="B16" s="622"/>
      <c r="C16" s="478" t="s">
        <v>498</v>
      </c>
      <c r="D16" s="402" t="str">
        <f>D15</f>
        <v>Total net pay</v>
      </c>
      <c r="E16" s="388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5"/>
      <c r="Q16" s="344"/>
      <c r="R16" s="344"/>
      <c r="S16" s="344"/>
      <c r="T16" s="344"/>
      <c r="U16" s="344"/>
      <c r="V16" s="344"/>
      <c r="W16" s="344"/>
      <c r="X16" s="344"/>
      <c r="Y16" s="344"/>
      <c r="Z16" s="344"/>
      <c r="AA16" s="344"/>
      <c r="AB16" s="344"/>
      <c r="AC16" s="388"/>
      <c r="AD16" s="344"/>
      <c r="AE16" s="344"/>
      <c r="AF16" s="344"/>
      <c r="AG16" s="344"/>
      <c r="AH16" s="344"/>
      <c r="AI16" s="344"/>
      <c r="AJ16" s="344"/>
      <c r="AK16" s="344"/>
      <c r="AL16" s="344"/>
      <c r="AM16" s="344"/>
      <c r="AN16" s="345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88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5"/>
    </row>
    <row r="17" spans="1:64" x14ac:dyDescent="0.25">
      <c r="A17" s="625"/>
      <c r="B17" s="622"/>
      <c r="C17" s="479" t="s">
        <v>507</v>
      </c>
      <c r="D17" s="403" t="str">
        <f>D16</f>
        <v>Total net pay</v>
      </c>
      <c r="E17" s="382">
        <f>(E16-E15)/E15</f>
        <v>-1</v>
      </c>
      <c r="F17" s="371">
        <f t="shared" ref="F17:BL17" si="8">(F16-F15)/F15</f>
        <v>-1</v>
      </c>
      <c r="G17" s="371">
        <f t="shared" si="8"/>
        <v>-1</v>
      </c>
      <c r="H17" s="371">
        <f t="shared" si="8"/>
        <v>-1</v>
      </c>
      <c r="I17" s="371">
        <f t="shared" si="8"/>
        <v>-1</v>
      </c>
      <c r="J17" s="371">
        <f t="shared" si="8"/>
        <v>-1</v>
      </c>
      <c r="K17" s="371">
        <f t="shared" si="8"/>
        <v>-1</v>
      </c>
      <c r="L17" s="371">
        <f t="shared" si="8"/>
        <v>-1</v>
      </c>
      <c r="M17" s="371">
        <f t="shared" si="8"/>
        <v>-1</v>
      </c>
      <c r="N17" s="371">
        <f t="shared" si="8"/>
        <v>-1</v>
      </c>
      <c r="O17" s="371">
        <f t="shared" si="8"/>
        <v>-1</v>
      </c>
      <c r="P17" s="383">
        <f t="shared" si="8"/>
        <v>-1</v>
      </c>
      <c r="Q17" s="371" t="e">
        <f t="shared" si="8"/>
        <v>#DIV/0!</v>
      </c>
      <c r="R17" s="371" t="e">
        <f t="shared" si="8"/>
        <v>#DIV/0!</v>
      </c>
      <c r="S17" s="371" t="e">
        <f t="shared" si="8"/>
        <v>#DIV/0!</v>
      </c>
      <c r="T17" s="371" t="e">
        <f t="shared" si="8"/>
        <v>#DIV/0!</v>
      </c>
      <c r="U17" s="371" t="e">
        <f t="shared" si="8"/>
        <v>#DIV/0!</v>
      </c>
      <c r="V17" s="371" t="e">
        <f t="shared" si="8"/>
        <v>#DIV/0!</v>
      </c>
      <c r="W17" s="371" t="e">
        <f t="shared" si="8"/>
        <v>#DIV/0!</v>
      </c>
      <c r="X17" s="371" t="e">
        <f t="shared" si="8"/>
        <v>#DIV/0!</v>
      </c>
      <c r="Y17" s="371" t="e">
        <f t="shared" si="8"/>
        <v>#DIV/0!</v>
      </c>
      <c r="Z17" s="371" t="e">
        <f t="shared" si="8"/>
        <v>#DIV/0!</v>
      </c>
      <c r="AA17" s="371" t="e">
        <f t="shared" si="8"/>
        <v>#DIV/0!</v>
      </c>
      <c r="AB17" s="371" t="e">
        <f t="shared" si="8"/>
        <v>#DIV/0!</v>
      </c>
      <c r="AC17" s="382" t="e">
        <f t="shared" si="8"/>
        <v>#DIV/0!</v>
      </c>
      <c r="AD17" s="371" t="e">
        <f t="shared" si="8"/>
        <v>#DIV/0!</v>
      </c>
      <c r="AE17" s="371" t="e">
        <f t="shared" si="8"/>
        <v>#DIV/0!</v>
      </c>
      <c r="AF17" s="371" t="e">
        <f t="shared" si="8"/>
        <v>#DIV/0!</v>
      </c>
      <c r="AG17" s="371" t="e">
        <f t="shared" si="8"/>
        <v>#DIV/0!</v>
      </c>
      <c r="AH17" s="371" t="e">
        <f t="shared" si="8"/>
        <v>#DIV/0!</v>
      </c>
      <c r="AI17" s="371" t="e">
        <f t="shared" si="8"/>
        <v>#DIV/0!</v>
      </c>
      <c r="AJ17" s="371" t="e">
        <f t="shared" si="8"/>
        <v>#DIV/0!</v>
      </c>
      <c r="AK17" s="371" t="e">
        <f t="shared" si="8"/>
        <v>#DIV/0!</v>
      </c>
      <c r="AL17" s="371" t="e">
        <f t="shared" si="8"/>
        <v>#DIV/0!</v>
      </c>
      <c r="AM17" s="371" t="e">
        <f t="shared" si="8"/>
        <v>#DIV/0!</v>
      </c>
      <c r="AN17" s="383" t="e">
        <f t="shared" si="8"/>
        <v>#DIV/0!</v>
      </c>
      <c r="AO17" s="371" t="e">
        <f t="shared" si="8"/>
        <v>#DIV/0!</v>
      </c>
      <c r="AP17" s="371" t="e">
        <f t="shared" si="8"/>
        <v>#DIV/0!</v>
      </c>
      <c r="AQ17" s="371" t="e">
        <f t="shared" si="8"/>
        <v>#DIV/0!</v>
      </c>
      <c r="AR17" s="371" t="e">
        <f t="shared" si="8"/>
        <v>#DIV/0!</v>
      </c>
      <c r="AS17" s="371" t="e">
        <f t="shared" si="8"/>
        <v>#DIV/0!</v>
      </c>
      <c r="AT17" s="371" t="e">
        <f t="shared" si="8"/>
        <v>#DIV/0!</v>
      </c>
      <c r="AU17" s="371" t="e">
        <f t="shared" si="8"/>
        <v>#DIV/0!</v>
      </c>
      <c r="AV17" s="371" t="e">
        <f t="shared" si="8"/>
        <v>#DIV/0!</v>
      </c>
      <c r="AW17" s="371" t="e">
        <f t="shared" si="8"/>
        <v>#DIV/0!</v>
      </c>
      <c r="AX17" s="371" t="e">
        <f t="shared" si="8"/>
        <v>#DIV/0!</v>
      </c>
      <c r="AY17" s="371" t="e">
        <f t="shared" si="8"/>
        <v>#DIV/0!</v>
      </c>
      <c r="AZ17" s="371" t="e">
        <f t="shared" si="8"/>
        <v>#DIV/0!</v>
      </c>
      <c r="BA17" s="382" t="e">
        <f t="shared" si="8"/>
        <v>#DIV/0!</v>
      </c>
      <c r="BB17" s="371" t="e">
        <f t="shared" si="8"/>
        <v>#DIV/0!</v>
      </c>
      <c r="BC17" s="371" t="e">
        <f t="shared" si="8"/>
        <v>#DIV/0!</v>
      </c>
      <c r="BD17" s="371" t="e">
        <f t="shared" si="8"/>
        <v>#DIV/0!</v>
      </c>
      <c r="BE17" s="371" t="e">
        <f t="shared" si="8"/>
        <v>#DIV/0!</v>
      </c>
      <c r="BF17" s="371" t="e">
        <f t="shared" si="8"/>
        <v>#DIV/0!</v>
      </c>
      <c r="BG17" s="371" t="e">
        <f t="shared" si="8"/>
        <v>#DIV/0!</v>
      </c>
      <c r="BH17" s="371" t="e">
        <f t="shared" si="8"/>
        <v>#DIV/0!</v>
      </c>
      <c r="BI17" s="371" t="e">
        <f t="shared" si="8"/>
        <v>#DIV/0!</v>
      </c>
      <c r="BJ17" s="371" t="e">
        <f t="shared" si="8"/>
        <v>#DIV/0!</v>
      </c>
      <c r="BK17" s="371" t="e">
        <f t="shared" si="8"/>
        <v>#DIV/0!</v>
      </c>
      <c r="BL17" s="383" t="e">
        <f t="shared" si="8"/>
        <v>#DIV/0!</v>
      </c>
    </row>
    <row r="18" spans="1:64" x14ac:dyDescent="0.25">
      <c r="A18" s="625"/>
      <c r="B18" s="622"/>
      <c r="C18" s="480" t="s">
        <v>483</v>
      </c>
      <c r="D18" s="464" t="s">
        <v>561</v>
      </c>
      <c r="E18" s="495" t="s">
        <v>497</v>
      </c>
      <c r="F18" s="129" t="s">
        <v>498</v>
      </c>
      <c r="G18" s="475" t="s">
        <v>507</v>
      </c>
      <c r="H18" s="326"/>
      <c r="I18" s="326"/>
      <c r="J18" s="326"/>
      <c r="K18" s="326"/>
      <c r="L18" s="326"/>
      <c r="M18" s="326"/>
      <c r="N18" s="326"/>
      <c r="O18" s="326"/>
      <c r="P18" s="333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85"/>
      <c r="AD18" s="326"/>
      <c r="AE18" s="326"/>
      <c r="AF18" s="326"/>
      <c r="AG18" s="326"/>
      <c r="AH18" s="326"/>
      <c r="AI18" s="326"/>
      <c r="AJ18" s="326"/>
      <c r="AK18" s="326"/>
      <c r="AL18" s="326"/>
      <c r="AM18" s="326"/>
      <c r="AN18" s="333"/>
      <c r="AO18" s="326"/>
      <c r="AP18" s="326"/>
      <c r="AQ18" s="326"/>
      <c r="AR18" s="326"/>
      <c r="AS18" s="326"/>
      <c r="AT18" s="326"/>
      <c r="AU18" s="326"/>
      <c r="AV18" s="326"/>
      <c r="AW18" s="326"/>
      <c r="AX18" s="326"/>
      <c r="AY18" s="326"/>
      <c r="AZ18" s="326"/>
      <c r="BA18" s="385"/>
      <c r="BB18" s="326"/>
      <c r="BC18" s="326"/>
      <c r="BD18" s="326"/>
      <c r="BE18" s="326"/>
      <c r="BF18" s="326"/>
      <c r="BG18" s="326"/>
      <c r="BH18" s="326"/>
      <c r="BI18" s="326"/>
      <c r="BJ18" s="326"/>
      <c r="BK18" s="326"/>
      <c r="BL18" s="333"/>
    </row>
    <row r="19" spans="1:64" x14ac:dyDescent="0.25">
      <c r="A19" s="625"/>
      <c r="B19" s="622"/>
      <c r="C19" s="416" t="str">
        <f>'Payroll 2020'!D533</f>
        <v>Direction</v>
      </c>
      <c r="D19" s="402" t="str">
        <f>'Payroll 2020'!A533</f>
        <v>President</v>
      </c>
      <c r="E19" s="398">
        <f>'Payroll 2020'!G533</f>
        <v>8832</v>
      </c>
      <c r="F19" s="344">
        <v>10000</v>
      </c>
      <c r="G19" s="474">
        <f>E19-F19</f>
        <v>-1168</v>
      </c>
      <c r="H19" s="53"/>
      <c r="I19" s="53"/>
      <c r="J19" s="53"/>
      <c r="K19" s="53"/>
      <c r="L19" s="53"/>
      <c r="M19" s="53"/>
      <c r="N19" s="53"/>
      <c r="O19" s="53"/>
      <c r="P19" s="352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399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352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399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352"/>
    </row>
    <row r="20" spans="1:64" x14ac:dyDescent="0.25">
      <c r="A20" s="625"/>
      <c r="B20" s="622"/>
      <c r="C20" s="416" t="str">
        <f>'Payroll 2020'!D534</f>
        <v>Direction</v>
      </c>
      <c r="D20" s="402" t="str">
        <f>'Payroll 2020'!A534</f>
        <v>Managing Director</v>
      </c>
      <c r="E20" s="398">
        <f>'Payroll 2020'!G534</f>
        <v>8280</v>
      </c>
      <c r="F20" s="344">
        <v>9000</v>
      </c>
      <c r="G20" s="474">
        <f t="shared" ref="G20:G54" si="9">E20-F20</f>
        <v>-720</v>
      </c>
      <c r="H20" s="53"/>
      <c r="I20" s="53"/>
      <c r="J20" s="53"/>
      <c r="K20" s="53"/>
      <c r="L20" s="53"/>
      <c r="M20" s="53"/>
      <c r="N20" s="53"/>
      <c r="O20" s="53"/>
      <c r="P20" s="352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399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352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399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352"/>
    </row>
    <row r="21" spans="1:64" x14ac:dyDescent="0.25">
      <c r="A21" s="625"/>
      <c r="B21" s="622"/>
      <c r="C21" s="416" t="str">
        <f>'Payroll 2020'!D535</f>
        <v>Direction</v>
      </c>
      <c r="D21" s="402" t="str">
        <f>'Payroll 2020'!A535</f>
        <v>Event director</v>
      </c>
      <c r="E21" s="398">
        <f>'Payroll 2020'!G535</f>
        <v>6808</v>
      </c>
      <c r="F21" s="344">
        <v>8000</v>
      </c>
      <c r="G21" s="474">
        <f t="shared" si="9"/>
        <v>-1192</v>
      </c>
      <c r="H21" s="53"/>
      <c r="I21" s="53"/>
      <c r="J21" s="53"/>
      <c r="K21" s="53"/>
      <c r="L21" s="53"/>
      <c r="M21" s="53"/>
      <c r="N21" s="53"/>
      <c r="O21" s="53"/>
      <c r="P21" s="352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399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352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399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352"/>
    </row>
    <row r="22" spans="1:64" x14ac:dyDescent="0.25">
      <c r="A22" s="625"/>
      <c r="B22" s="622"/>
      <c r="C22" s="416" t="str">
        <f>'Payroll 2020'!D536</f>
        <v>Sales</v>
      </c>
      <c r="D22" s="402" t="str">
        <f>'Payroll 2020'!A536</f>
        <v>Event manager</v>
      </c>
      <c r="E22" s="398">
        <f>'Payroll 2020'!G536</f>
        <v>4232</v>
      </c>
      <c r="F22" s="344">
        <v>6000</v>
      </c>
      <c r="G22" s="474">
        <f t="shared" si="9"/>
        <v>-1768</v>
      </c>
      <c r="H22" s="53"/>
      <c r="I22" s="53"/>
      <c r="J22" s="53"/>
      <c r="K22" s="53"/>
      <c r="L22" s="53"/>
      <c r="M22" s="53"/>
      <c r="N22" s="53"/>
      <c r="O22" s="53"/>
      <c r="P22" s="352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399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352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399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352"/>
    </row>
    <row r="23" spans="1:64" x14ac:dyDescent="0.25">
      <c r="A23" s="625"/>
      <c r="B23" s="622"/>
      <c r="C23" s="416" t="str">
        <f>'Payroll 2020'!D537</f>
        <v>Product Development</v>
      </c>
      <c r="D23" s="402" t="str">
        <f>'Payroll 2020'!A537</f>
        <v>CTO</v>
      </c>
      <c r="E23" s="398">
        <f>'Payroll 2020'!G537</f>
        <v>7360</v>
      </c>
      <c r="F23" s="344">
        <v>8500</v>
      </c>
      <c r="G23" s="474">
        <f t="shared" si="9"/>
        <v>-1140</v>
      </c>
      <c r="H23" s="53"/>
      <c r="I23" s="53"/>
      <c r="J23" s="53"/>
      <c r="K23" s="53"/>
      <c r="L23" s="53"/>
      <c r="M23" s="53"/>
      <c r="N23" s="53"/>
      <c r="O23" s="53"/>
      <c r="P23" s="352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399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352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399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352"/>
    </row>
    <row r="24" spans="1:64" x14ac:dyDescent="0.25">
      <c r="A24" s="625"/>
      <c r="B24" s="622"/>
      <c r="C24" s="416" t="str">
        <f>'Payroll 2020'!D538</f>
        <v>Product Development</v>
      </c>
      <c r="D24" s="402" t="str">
        <f>'Payroll 2020'!A538</f>
        <v>Senior developer 1</v>
      </c>
      <c r="E24" s="398">
        <f>'Payroll 2020'!G538</f>
        <v>5152</v>
      </c>
      <c r="F24" s="344">
        <v>8300</v>
      </c>
      <c r="G24" s="474">
        <f t="shared" si="9"/>
        <v>-3148</v>
      </c>
      <c r="H24" s="53"/>
      <c r="I24" s="53"/>
      <c r="J24" s="53"/>
      <c r="K24" s="53"/>
      <c r="L24" s="53"/>
      <c r="M24" s="53"/>
      <c r="N24" s="53"/>
      <c r="O24" s="53"/>
      <c r="P24" s="352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399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352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399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352"/>
    </row>
    <row r="25" spans="1:64" x14ac:dyDescent="0.25">
      <c r="A25" s="625"/>
      <c r="B25" s="622"/>
      <c r="C25" s="416" t="str">
        <f>'Payroll 2020'!D539</f>
        <v>Product Development</v>
      </c>
      <c r="D25" s="402" t="str">
        <f>'Payroll 2020'!A539</f>
        <v>Senior developer 2</v>
      </c>
      <c r="E25" s="398">
        <f>'Payroll 2020'!G539</f>
        <v>4232</v>
      </c>
      <c r="F25" s="344">
        <v>7000</v>
      </c>
      <c r="G25" s="474">
        <f t="shared" si="9"/>
        <v>-2768</v>
      </c>
      <c r="H25" s="53"/>
      <c r="I25" s="53"/>
      <c r="J25" s="53"/>
      <c r="K25" s="53"/>
      <c r="L25" s="53"/>
      <c r="M25" s="53"/>
      <c r="N25" s="53"/>
      <c r="O25" s="53"/>
      <c r="P25" s="352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399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352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399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352"/>
    </row>
    <row r="26" spans="1:64" x14ac:dyDescent="0.25">
      <c r="A26" s="625"/>
      <c r="B26" s="622"/>
      <c r="C26" s="416" t="str">
        <f>'Payroll 2020'!D540</f>
        <v>Product Development</v>
      </c>
      <c r="D26" s="402" t="str">
        <f>'Payroll 2020'!A540</f>
        <v>Senior developer 3</v>
      </c>
      <c r="E26" s="398">
        <f>'Payroll 2020'!G540</f>
        <v>4232</v>
      </c>
      <c r="F26" s="344">
        <v>7000</v>
      </c>
      <c r="G26" s="474">
        <f t="shared" si="9"/>
        <v>-2768</v>
      </c>
      <c r="H26" s="53"/>
      <c r="I26" s="53"/>
      <c r="J26" s="53"/>
      <c r="K26" s="53"/>
      <c r="L26" s="53"/>
      <c r="M26" s="53"/>
      <c r="N26" s="53"/>
      <c r="O26" s="53"/>
      <c r="P26" s="352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399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352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399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352"/>
    </row>
    <row r="27" spans="1:64" x14ac:dyDescent="0.25">
      <c r="A27" s="625"/>
      <c r="B27" s="622"/>
      <c r="C27" s="416" t="str">
        <f>'Payroll 2020'!D541</f>
        <v>UX UI Design</v>
      </c>
      <c r="D27" s="402" t="str">
        <f>'Payroll 2020'!A541</f>
        <v>UX designer</v>
      </c>
      <c r="E27" s="398">
        <f>'Payroll 2020'!G541</f>
        <v>3312</v>
      </c>
      <c r="F27" s="344"/>
      <c r="G27" s="474">
        <f t="shared" si="9"/>
        <v>3312</v>
      </c>
      <c r="H27" s="53"/>
      <c r="I27" s="53"/>
      <c r="J27" s="53"/>
      <c r="K27" s="53"/>
      <c r="L27" s="53"/>
      <c r="M27" s="53"/>
      <c r="N27" s="53"/>
      <c r="O27" s="53"/>
      <c r="P27" s="352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399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352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399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352"/>
    </row>
    <row r="28" spans="1:64" x14ac:dyDescent="0.25">
      <c r="A28" s="625"/>
      <c r="B28" s="622"/>
      <c r="C28" s="416" t="str">
        <f>'Payroll 2020'!D542</f>
        <v>Product Development</v>
      </c>
      <c r="D28" s="402" t="str">
        <f>'Payroll 2020'!A542</f>
        <v>Product owner Playce</v>
      </c>
      <c r="E28" s="398">
        <f>'Payroll 2020'!G542</f>
        <v>4232</v>
      </c>
      <c r="F28" s="344"/>
      <c r="G28" s="474">
        <f t="shared" si="9"/>
        <v>4232</v>
      </c>
      <c r="H28" s="53"/>
      <c r="I28" s="53"/>
      <c r="J28" s="53"/>
      <c r="K28" s="53"/>
      <c r="L28" s="53"/>
      <c r="M28" s="53"/>
      <c r="N28" s="53"/>
      <c r="O28" s="53"/>
      <c r="P28" s="352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399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352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399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352"/>
    </row>
    <row r="29" spans="1:64" x14ac:dyDescent="0.25">
      <c r="A29" s="625"/>
      <c r="B29" s="622"/>
      <c r="C29" s="416" t="str">
        <f>'Payroll 2020'!D543</f>
        <v>Product Development</v>
      </c>
      <c r="D29" s="402" t="str">
        <f>'Payroll 2020'!A543</f>
        <v>Product owner Player Tag</v>
      </c>
      <c r="E29" s="398">
        <f>'Payroll 2020'!G543</f>
        <v>7360</v>
      </c>
      <c r="F29" s="344"/>
      <c r="G29" s="474">
        <f t="shared" si="9"/>
        <v>7360</v>
      </c>
      <c r="H29" s="53"/>
      <c r="I29" s="53"/>
      <c r="J29" s="53"/>
      <c r="K29" s="53"/>
      <c r="L29" s="53"/>
      <c r="M29" s="53"/>
      <c r="N29" s="53"/>
      <c r="O29" s="53"/>
      <c r="P29" s="352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399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352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399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352"/>
    </row>
    <row r="30" spans="1:64" x14ac:dyDescent="0.25">
      <c r="A30" s="625"/>
      <c r="B30" s="622"/>
      <c r="C30" s="416" t="str">
        <f>'Payroll 2020'!D544</f>
        <v>Product Development</v>
      </c>
      <c r="D30" s="402" t="str">
        <f>'Payroll 2020'!A544</f>
        <v>Senior software engineer 1</v>
      </c>
      <c r="E30" s="398">
        <f>'Payroll 2020'!G544</f>
        <v>7360</v>
      </c>
      <c r="F30" s="344"/>
      <c r="G30" s="474">
        <f t="shared" si="9"/>
        <v>7360</v>
      </c>
      <c r="H30" s="53"/>
      <c r="I30" s="53"/>
      <c r="J30" s="53"/>
      <c r="K30" s="53"/>
      <c r="L30" s="53"/>
      <c r="M30" s="53"/>
      <c r="N30" s="53"/>
      <c r="O30" s="53"/>
      <c r="P30" s="352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399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352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399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352"/>
    </row>
    <row r="31" spans="1:64" x14ac:dyDescent="0.25">
      <c r="A31" s="625"/>
      <c r="B31" s="622"/>
      <c r="C31" s="416" t="str">
        <f>'Payroll 2020'!D545</f>
        <v>Product Development</v>
      </c>
      <c r="D31" s="402" t="str">
        <f>'Payroll 2020'!A545</f>
        <v>Confirmed software engineer</v>
      </c>
      <c r="E31" s="398">
        <f>'Payroll 2020'!G545</f>
        <v>5520</v>
      </c>
      <c r="F31" s="344"/>
      <c r="G31" s="474">
        <f t="shared" si="9"/>
        <v>5520</v>
      </c>
      <c r="H31" s="53"/>
      <c r="I31" s="53"/>
      <c r="J31" s="53"/>
      <c r="K31" s="53"/>
      <c r="L31" s="53"/>
      <c r="M31" s="53"/>
      <c r="N31" s="53"/>
      <c r="O31" s="53"/>
      <c r="P31" s="352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399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352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399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352"/>
    </row>
    <row r="32" spans="1:64" x14ac:dyDescent="0.25">
      <c r="A32" s="625"/>
      <c r="B32" s="622"/>
      <c r="C32" s="416" t="str">
        <f>'Payroll 2020'!D546</f>
        <v>UX UI Design</v>
      </c>
      <c r="D32" s="402" t="str">
        <f>'Payroll 2020'!A546</f>
        <v>Offshore &gt; UI designer</v>
      </c>
      <c r="E32" s="398">
        <f>'Payroll 2020'!G546</f>
        <v>1380</v>
      </c>
      <c r="F32" s="344"/>
      <c r="G32" s="474">
        <f t="shared" si="9"/>
        <v>1380</v>
      </c>
      <c r="H32" s="53"/>
      <c r="I32" s="53"/>
      <c r="J32" s="53"/>
      <c r="K32" s="53"/>
      <c r="L32" s="53"/>
      <c r="M32" s="53"/>
      <c r="N32" s="53"/>
      <c r="O32" s="53"/>
      <c r="P32" s="352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399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352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399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352"/>
    </row>
    <row r="33" spans="1:64" x14ac:dyDescent="0.25">
      <c r="A33" s="625"/>
      <c r="B33" s="622"/>
      <c r="C33" s="416" t="str">
        <f>'Payroll 2020'!D547</f>
        <v>Product Development</v>
      </c>
      <c r="D33" s="402" t="str">
        <f>'Payroll 2020'!A547</f>
        <v>Offshore &gt; Confirmed software engineer</v>
      </c>
      <c r="E33" s="398">
        <f>'Payroll 2020'!G547</f>
        <v>1840</v>
      </c>
      <c r="F33" s="344"/>
      <c r="G33" s="474">
        <f t="shared" si="9"/>
        <v>1840</v>
      </c>
      <c r="H33" s="53"/>
      <c r="I33" s="53"/>
      <c r="J33" s="53"/>
      <c r="K33" s="53"/>
      <c r="L33" s="53"/>
      <c r="M33" s="53"/>
      <c r="N33" s="53"/>
      <c r="O33" s="53"/>
      <c r="P33" s="352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399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352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399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352"/>
    </row>
    <row r="34" spans="1:64" x14ac:dyDescent="0.25">
      <c r="A34" s="625"/>
      <c r="B34" s="622"/>
      <c r="C34" s="416" t="str">
        <f>'Payroll 2020'!D548</f>
        <v>Product Development</v>
      </c>
      <c r="D34" s="402" t="str">
        <f>'Payroll 2020'!A548</f>
        <v>Offshore &gt; Junior software engineer</v>
      </c>
      <c r="E34" s="398">
        <f>'Payroll 2020'!G548</f>
        <v>1380</v>
      </c>
      <c r="F34" s="344"/>
      <c r="G34" s="474">
        <f t="shared" si="9"/>
        <v>1380</v>
      </c>
      <c r="H34" s="53"/>
      <c r="I34" s="53"/>
      <c r="J34" s="53"/>
      <c r="K34" s="53"/>
      <c r="L34" s="53"/>
      <c r="M34" s="53"/>
      <c r="N34" s="53"/>
      <c r="O34" s="53"/>
      <c r="P34" s="352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399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352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399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352"/>
    </row>
    <row r="35" spans="1:64" x14ac:dyDescent="0.25">
      <c r="A35" s="625"/>
      <c r="B35" s="622"/>
      <c r="C35" s="416" t="str">
        <f>'Payroll 2020'!D549</f>
        <v>Product Development</v>
      </c>
      <c r="D35" s="402" t="str">
        <f>'Payroll 2020'!A549</f>
        <v>Offshore &gt; Junior software engineer 2</v>
      </c>
      <c r="E35" s="398">
        <f>'Payroll 2020'!G549</f>
        <v>1380</v>
      </c>
      <c r="F35" s="344"/>
      <c r="G35" s="474">
        <f t="shared" si="9"/>
        <v>1380</v>
      </c>
      <c r="H35" s="53"/>
      <c r="I35" s="53"/>
      <c r="J35" s="53"/>
      <c r="K35" s="53"/>
      <c r="L35" s="53"/>
      <c r="M35" s="53"/>
      <c r="N35" s="53"/>
      <c r="O35" s="53"/>
      <c r="P35" s="352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399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352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399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352"/>
    </row>
    <row r="36" spans="1:64" x14ac:dyDescent="0.25">
      <c r="A36" s="625"/>
      <c r="B36" s="622"/>
      <c r="C36" s="416" t="str">
        <f>'Payroll 2020'!D550</f>
        <v>Product Development</v>
      </c>
      <c r="D36" s="402" t="str">
        <f>'Payroll 2020'!A550</f>
        <v>Product owner Pro</v>
      </c>
      <c r="E36" s="398">
        <f>'Payroll 2020'!G550</f>
        <v>4048</v>
      </c>
      <c r="F36" s="344"/>
      <c r="G36" s="474">
        <f t="shared" si="9"/>
        <v>4048</v>
      </c>
      <c r="H36" s="53"/>
      <c r="I36" s="53"/>
      <c r="J36" s="53"/>
      <c r="K36" s="53"/>
      <c r="L36" s="53"/>
      <c r="M36" s="53"/>
      <c r="N36" s="53"/>
      <c r="O36" s="53"/>
      <c r="P36" s="352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399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352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399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352"/>
    </row>
    <row r="37" spans="1:64" x14ac:dyDescent="0.25">
      <c r="A37" s="625"/>
      <c r="B37" s="622"/>
      <c r="C37" s="416" t="str">
        <f>'Payroll 2020'!D551</f>
        <v>Product Development</v>
      </c>
      <c r="D37" s="402" t="str">
        <f>'Payroll 2020'!A551</f>
        <v>Lead developer</v>
      </c>
      <c r="E37" s="398">
        <f>'Payroll 2020'!G551</f>
        <v>4600</v>
      </c>
      <c r="F37" s="344"/>
      <c r="G37" s="474">
        <f t="shared" si="9"/>
        <v>4600</v>
      </c>
      <c r="H37" s="53"/>
      <c r="I37" s="53"/>
      <c r="J37" s="53"/>
      <c r="K37" s="53"/>
      <c r="L37" s="53"/>
      <c r="M37" s="53"/>
      <c r="N37" s="53"/>
      <c r="O37" s="53"/>
      <c r="P37" s="352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399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352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399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352"/>
    </row>
    <row r="38" spans="1:64" x14ac:dyDescent="0.25">
      <c r="A38" s="625"/>
      <c r="B38" s="622"/>
      <c r="C38" s="416" t="str">
        <f>'Payroll 2020'!D552</f>
        <v>Product Development</v>
      </c>
      <c r="D38" s="402" t="str">
        <f>'Payroll 2020'!A552</f>
        <v>Senior software engineer 2</v>
      </c>
      <c r="E38" s="398">
        <f>'Payroll 2020'!G552</f>
        <v>3680</v>
      </c>
      <c r="F38" s="344"/>
      <c r="G38" s="474">
        <f t="shared" si="9"/>
        <v>3680</v>
      </c>
      <c r="H38" s="53"/>
      <c r="I38" s="53"/>
      <c r="J38" s="53"/>
      <c r="K38" s="53"/>
      <c r="L38" s="53"/>
      <c r="M38" s="53"/>
      <c r="N38" s="53"/>
      <c r="O38" s="53"/>
      <c r="P38" s="352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399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352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399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352"/>
    </row>
    <row r="39" spans="1:64" x14ac:dyDescent="0.25">
      <c r="A39" s="625"/>
      <c r="B39" s="622"/>
      <c r="C39" s="416" t="str">
        <f>'Payroll 2020'!D553</f>
        <v>UX UI Design</v>
      </c>
      <c r="D39" s="402" t="str">
        <f>'Payroll 2020'!A553</f>
        <v>Offshore &gt; UI designer 2</v>
      </c>
      <c r="E39" s="398">
        <f>'Payroll 2020'!G553</f>
        <v>1380</v>
      </c>
      <c r="F39" s="344"/>
      <c r="G39" s="474">
        <f t="shared" si="9"/>
        <v>1380</v>
      </c>
      <c r="H39" s="53"/>
      <c r="I39" s="53"/>
      <c r="J39" s="53"/>
      <c r="K39" s="53"/>
      <c r="L39" s="53"/>
      <c r="M39" s="53"/>
      <c r="N39" s="53"/>
      <c r="O39" s="53"/>
      <c r="P39" s="352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399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352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399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352"/>
    </row>
    <row r="40" spans="1:64" x14ac:dyDescent="0.25">
      <c r="A40" s="625"/>
      <c r="B40" s="622"/>
      <c r="C40" s="416" t="str">
        <f>'Payroll 2020'!D554</f>
        <v>Product Development</v>
      </c>
      <c r="D40" s="402" t="str">
        <f>'Payroll 2020'!A554</f>
        <v>Offshore &gt; Confirmed software engineer 2</v>
      </c>
      <c r="E40" s="398">
        <f>'Payroll 2020'!G554</f>
        <v>1840</v>
      </c>
      <c r="F40" s="344"/>
      <c r="G40" s="474">
        <f t="shared" si="9"/>
        <v>1840</v>
      </c>
      <c r="H40" s="53"/>
      <c r="I40" s="53"/>
      <c r="J40" s="53"/>
      <c r="K40" s="53"/>
      <c r="L40" s="53"/>
      <c r="M40" s="53"/>
      <c r="N40" s="53"/>
      <c r="O40" s="53"/>
      <c r="P40" s="352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399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352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399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352"/>
    </row>
    <row r="41" spans="1:64" x14ac:dyDescent="0.25">
      <c r="A41" s="625"/>
      <c r="B41" s="622"/>
      <c r="C41" s="416" t="str">
        <f>'Payroll 2020'!D555</f>
        <v>Product Development</v>
      </c>
      <c r="D41" s="402" t="str">
        <f>'Payroll 2020'!A555</f>
        <v>Offshore &gt; Junor software engineer 3</v>
      </c>
      <c r="E41" s="398">
        <f>'Payroll 2020'!G555</f>
        <v>1380</v>
      </c>
      <c r="F41" s="344"/>
      <c r="G41" s="474">
        <f t="shared" si="9"/>
        <v>1380</v>
      </c>
      <c r="H41" s="53"/>
      <c r="I41" s="53"/>
      <c r="J41" s="53"/>
      <c r="K41" s="53"/>
      <c r="L41" s="53"/>
      <c r="M41" s="53"/>
      <c r="N41" s="53"/>
      <c r="O41" s="53"/>
      <c r="P41" s="352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399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352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399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352"/>
    </row>
    <row r="42" spans="1:64" x14ac:dyDescent="0.25">
      <c r="A42" s="625"/>
      <c r="B42" s="622"/>
      <c r="C42" s="416" t="str">
        <f>'Payroll 2020'!D556</f>
        <v>Product Development</v>
      </c>
      <c r="D42" s="402" t="str">
        <f>'Payroll 2020'!A556</f>
        <v>Offshore &gt; Junior software engineer 4</v>
      </c>
      <c r="E42" s="398">
        <f>'Payroll 2020'!G556</f>
        <v>1380</v>
      </c>
      <c r="F42" s="344"/>
      <c r="G42" s="474">
        <f t="shared" si="9"/>
        <v>1380</v>
      </c>
      <c r="H42" s="53"/>
      <c r="I42" s="53"/>
      <c r="J42" s="53"/>
      <c r="K42" s="53"/>
      <c r="L42" s="53"/>
      <c r="M42" s="53"/>
      <c r="N42" s="53"/>
      <c r="O42" s="53"/>
      <c r="P42" s="352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399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352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399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352"/>
    </row>
    <row r="43" spans="1:64" x14ac:dyDescent="0.25">
      <c r="A43" s="625"/>
      <c r="B43" s="622"/>
      <c r="C43" s="416" t="str">
        <f>'Payroll 2020'!D557</f>
        <v>Product Development</v>
      </c>
      <c r="D43" s="402" t="str">
        <f>'Payroll 2020'!A557</f>
        <v>Offshore &gt; Junior software engineer 5</v>
      </c>
      <c r="E43" s="398">
        <f>'Payroll 2020'!G557</f>
        <v>1380</v>
      </c>
      <c r="F43" s="344"/>
      <c r="G43" s="474">
        <f t="shared" si="9"/>
        <v>1380</v>
      </c>
      <c r="H43" s="53"/>
      <c r="I43" s="53"/>
      <c r="J43" s="53"/>
      <c r="K43" s="53"/>
      <c r="L43" s="53"/>
      <c r="M43" s="53"/>
      <c r="N43" s="53"/>
      <c r="O43" s="53"/>
      <c r="P43" s="352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399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352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399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352"/>
    </row>
    <row r="44" spans="1:64" x14ac:dyDescent="0.25">
      <c r="A44" s="625"/>
      <c r="B44" s="622"/>
      <c r="C44" s="416" t="str">
        <f>'Payroll 2020'!D558</f>
        <v>Product Development</v>
      </c>
      <c r="D44" s="402" t="str">
        <f>'Payroll 2020'!A558</f>
        <v>Offshore &gt; Junior software engineer 6</v>
      </c>
      <c r="E44" s="398">
        <f>'Payroll 2020'!G558</f>
        <v>1380</v>
      </c>
      <c r="F44" s="344"/>
      <c r="G44" s="474">
        <f t="shared" si="9"/>
        <v>1380</v>
      </c>
      <c r="H44" s="53"/>
      <c r="I44" s="53"/>
      <c r="J44" s="53"/>
      <c r="K44" s="53"/>
      <c r="L44" s="53"/>
      <c r="M44" s="53"/>
      <c r="N44" s="53"/>
      <c r="O44" s="53"/>
      <c r="P44" s="352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399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352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399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352"/>
    </row>
    <row r="45" spans="1:64" x14ac:dyDescent="0.25">
      <c r="A45" s="625"/>
      <c r="B45" s="622"/>
      <c r="C45" s="416" t="str">
        <f>'Payroll 2020'!D559</f>
        <v>Sales</v>
      </c>
      <c r="D45" s="402" t="str">
        <f>'Payroll 2020'!A559</f>
        <v>Sales Director</v>
      </c>
      <c r="E45" s="398">
        <f>'Payroll 2020'!G559</f>
        <v>5520</v>
      </c>
      <c r="F45" s="344"/>
      <c r="G45" s="474">
        <f t="shared" si="9"/>
        <v>5520</v>
      </c>
      <c r="H45" s="53"/>
      <c r="I45" s="53"/>
      <c r="J45" s="53"/>
      <c r="K45" s="53"/>
      <c r="L45" s="53"/>
      <c r="M45" s="53"/>
      <c r="N45" s="53"/>
      <c r="O45" s="53"/>
      <c r="P45" s="352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399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352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399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352"/>
    </row>
    <row r="46" spans="1:64" x14ac:dyDescent="0.25">
      <c r="A46" s="625"/>
      <c r="B46" s="622"/>
      <c r="C46" s="416" t="str">
        <f>'Payroll 2020'!D560</f>
        <v>Sales</v>
      </c>
      <c r="D46" s="402" t="str">
        <f>'Payroll 2020'!A560</f>
        <v>Senior account manager</v>
      </c>
      <c r="E46" s="398">
        <f>'Payroll 2020'!G560</f>
        <v>4232</v>
      </c>
      <c r="F46" s="344"/>
      <c r="G46" s="474">
        <f t="shared" si="9"/>
        <v>4232</v>
      </c>
      <c r="H46" s="53"/>
      <c r="I46" s="53"/>
      <c r="J46" s="53"/>
      <c r="K46" s="53"/>
      <c r="L46" s="53"/>
      <c r="M46" s="53"/>
      <c r="N46" s="53"/>
      <c r="O46" s="53"/>
      <c r="P46" s="352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399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352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399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352"/>
    </row>
    <row r="47" spans="1:64" x14ac:dyDescent="0.25">
      <c r="A47" s="625"/>
      <c r="B47" s="622"/>
      <c r="C47" s="416" t="str">
        <f>'Payroll 2020'!D561</f>
        <v>Sales</v>
      </c>
      <c r="D47" s="402" t="str">
        <f>'Payroll 2020'!A561</f>
        <v>Junior account manager</v>
      </c>
      <c r="E47" s="398">
        <f>'Payroll 2020'!G561</f>
        <v>3128</v>
      </c>
      <c r="F47" s="344">
        <v>1000</v>
      </c>
      <c r="G47" s="474">
        <f t="shared" si="9"/>
        <v>2128</v>
      </c>
      <c r="H47" s="53"/>
      <c r="I47" s="53"/>
      <c r="J47" s="53"/>
      <c r="K47" s="53"/>
      <c r="L47" s="53"/>
      <c r="M47" s="53"/>
      <c r="N47" s="53"/>
      <c r="O47" s="53"/>
      <c r="P47" s="352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399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352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399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352"/>
    </row>
    <row r="48" spans="1:64" x14ac:dyDescent="0.25">
      <c r="A48" s="625"/>
      <c r="B48" s="622"/>
      <c r="C48" s="416" t="str">
        <f>'Payroll 2020'!D562</f>
        <v>Sales</v>
      </c>
      <c r="D48" s="402" t="str">
        <f>'Payroll 2020'!A562</f>
        <v>Junior account manager</v>
      </c>
      <c r="E48" s="398">
        <f>'Payroll 2020'!G562</f>
        <v>3128</v>
      </c>
      <c r="F48" s="344"/>
      <c r="G48" s="474">
        <f t="shared" si="9"/>
        <v>3128</v>
      </c>
      <c r="H48" s="53"/>
      <c r="I48" s="53"/>
      <c r="J48" s="53"/>
      <c r="K48" s="53"/>
      <c r="L48" s="53"/>
      <c r="M48" s="53"/>
      <c r="N48" s="53"/>
      <c r="O48" s="53"/>
      <c r="P48" s="352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399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352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399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352"/>
    </row>
    <row r="49" spans="1:64" x14ac:dyDescent="0.25">
      <c r="A49" s="625"/>
      <c r="B49" s="622"/>
      <c r="C49" s="416" t="str">
        <f>'Payroll 2020'!D563</f>
        <v>Sales</v>
      </c>
      <c r="D49" s="402" t="str">
        <f>'Payroll 2020'!A563</f>
        <v>Senior account manager</v>
      </c>
      <c r="E49" s="398">
        <f>'Payroll 2020'!G563</f>
        <v>4232</v>
      </c>
      <c r="F49" s="344"/>
      <c r="G49" s="474">
        <f t="shared" si="9"/>
        <v>4232</v>
      </c>
      <c r="H49" s="53"/>
      <c r="I49" s="53"/>
      <c r="J49" s="53"/>
      <c r="K49" s="53"/>
      <c r="L49" s="53"/>
      <c r="M49" s="53"/>
      <c r="N49" s="53"/>
      <c r="O49" s="53"/>
      <c r="P49" s="352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399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352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399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352"/>
    </row>
    <row r="50" spans="1:64" x14ac:dyDescent="0.25">
      <c r="A50" s="625"/>
      <c r="B50" s="622"/>
      <c r="C50" s="416" t="str">
        <f>'Payroll 2020'!D564</f>
        <v>Sales</v>
      </c>
      <c r="D50" s="402" t="str">
        <f>'Payroll 2020'!A564</f>
        <v>Junior account manager</v>
      </c>
      <c r="E50" s="398">
        <f>'Payroll 2020'!G564</f>
        <v>3128</v>
      </c>
      <c r="F50" s="344"/>
      <c r="G50" s="474">
        <f t="shared" si="9"/>
        <v>3128</v>
      </c>
      <c r="H50" s="53"/>
      <c r="I50" s="53"/>
      <c r="J50" s="53"/>
      <c r="K50" s="53"/>
      <c r="L50" s="53"/>
      <c r="M50" s="53"/>
      <c r="N50" s="53"/>
      <c r="O50" s="53"/>
      <c r="P50" s="352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399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352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399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352"/>
    </row>
    <row r="51" spans="1:64" x14ac:dyDescent="0.25">
      <c r="A51" s="625"/>
      <c r="B51" s="622"/>
      <c r="C51" s="416" t="str">
        <f>'Payroll 2020'!D565</f>
        <v>Sales</v>
      </c>
      <c r="D51" s="402" t="str">
        <f>'Payroll 2020'!A565</f>
        <v>Junior account manager</v>
      </c>
      <c r="E51" s="398">
        <f>'Payroll 2020'!G565</f>
        <v>3128</v>
      </c>
      <c r="F51" s="344"/>
      <c r="G51" s="474">
        <f t="shared" si="9"/>
        <v>3128</v>
      </c>
      <c r="H51" s="53"/>
      <c r="I51" s="53"/>
      <c r="J51" s="53"/>
      <c r="K51" s="53"/>
      <c r="L51" s="53"/>
      <c r="M51" s="53"/>
      <c r="N51" s="53"/>
      <c r="O51" s="53"/>
      <c r="P51" s="352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399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352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399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352"/>
    </row>
    <row r="52" spans="1:64" x14ac:dyDescent="0.25">
      <c r="A52" s="625"/>
      <c r="B52" s="622"/>
      <c r="C52" s="416" t="str">
        <f>'Payroll 2020'!D566</f>
        <v>Sales</v>
      </c>
      <c r="D52" s="402" t="str">
        <f>'Payroll 2020'!A566</f>
        <v>Junior account manager</v>
      </c>
      <c r="E52" s="398">
        <f>'Payroll 2020'!G566</f>
        <v>3128</v>
      </c>
      <c r="F52" s="344"/>
      <c r="G52" s="474">
        <f t="shared" si="9"/>
        <v>3128</v>
      </c>
      <c r="H52" s="53"/>
      <c r="I52" s="53"/>
      <c r="J52" s="53"/>
      <c r="K52" s="53"/>
      <c r="L52" s="53"/>
      <c r="M52" s="53"/>
      <c r="N52" s="53"/>
      <c r="O52" s="53"/>
      <c r="P52" s="352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399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352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399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352"/>
    </row>
    <row r="53" spans="1:64" x14ac:dyDescent="0.25">
      <c r="A53" s="625"/>
      <c r="B53" s="622"/>
      <c r="C53" s="416" t="str">
        <f>'Payroll 2020'!D567</f>
        <v>Sales</v>
      </c>
      <c r="D53" s="402" t="str">
        <f>'Payroll 2020'!A567</f>
        <v>Senior account manager</v>
      </c>
      <c r="E53" s="398">
        <f>'Payroll 2020'!G567</f>
        <v>4232</v>
      </c>
      <c r="F53" s="344"/>
      <c r="G53" s="474">
        <f t="shared" si="9"/>
        <v>4232</v>
      </c>
      <c r="H53" s="53"/>
      <c r="I53" s="53"/>
      <c r="J53" s="53"/>
      <c r="K53" s="53"/>
      <c r="L53" s="53"/>
      <c r="M53" s="53"/>
      <c r="N53" s="53"/>
      <c r="O53" s="53"/>
      <c r="P53" s="352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399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352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399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352"/>
    </row>
    <row r="54" spans="1:64" ht="17" thickBot="1" x14ac:dyDescent="0.3">
      <c r="A54" s="626"/>
      <c r="B54" s="623"/>
      <c r="C54" s="483" t="str">
        <f>'Payroll 2020'!D568</f>
        <v>Sales</v>
      </c>
      <c r="D54" s="404" t="str">
        <f>'Payroll 2020'!A568</f>
        <v>Junior account manager</v>
      </c>
      <c r="E54" s="496">
        <f>'Payroll 2020'!G568</f>
        <v>3128</v>
      </c>
      <c r="F54" s="310"/>
      <c r="G54" s="484">
        <f t="shared" si="9"/>
        <v>3128</v>
      </c>
      <c r="H54" s="16"/>
      <c r="I54" s="16"/>
      <c r="J54" s="16"/>
      <c r="K54" s="16"/>
      <c r="L54" s="16"/>
      <c r="M54" s="16"/>
      <c r="N54" s="16"/>
      <c r="O54" s="16"/>
      <c r="P54" s="400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34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400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34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400"/>
    </row>
    <row r="55" spans="1:64" x14ac:dyDescent="0.25">
      <c r="A55" s="624">
        <v>3</v>
      </c>
      <c r="B55" s="627" t="s">
        <v>560</v>
      </c>
      <c r="C55" s="365"/>
      <c r="D55" s="494" t="s">
        <v>562</v>
      </c>
      <c r="E55" s="497" t="s">
        <v>497</v>
      </c>
      <c r="F55" s="489" t="s">
        <v>498</v>
      </c>
      <c r="G55" s="490" t="s">
        <v>507</v>
      </c>
      <c r="H55" s="329"/>
      <c r="I55" s="329"/>
      <c r="J55" s="329"/>
      <c r="K55" s="329"/>
      <c r="L55" s="329"/>
      <c r="M55" s="329"/>
      <c r="N55" s="329"/>
      <c r="O55" s="329"/>
      <c r="P55" s="422"/>
      <c r="Q55" s="329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329"/>
      <c r="AC55" s="423"/>
      <c r="AD55" s="329"/>
      <c r="AE55" s="329"/>
      <c r="AF55" s="329"/>
      <c r="AG55" s="329"/>
      <c r="AH55" s="329"/>
      <c r="AI55" s="329"/>
      <c r="AJ55" s="329"/>
      <c r="AK55" s="329"/>
      <c r="AL55" s="329"/>
      <c r="AM55" s="329"/>
      <c r="AN55" s="422"/>
      <c r="AO55" s="329"/>
      <c r="AP55" s="329"/>
      <c r="AQ55" s="329"/>
      <c r="AR55" s="329"/>
      <c r="AS55" s="329"/>
      <c r="AT55" s="329"/>
      <c r="AU55" s="329"/>
      <c r="AV55" s="329"/>
      <c r="AW55" s="329"/>
      <c r="AX55" s="329"/>
      <c r="AY55" s="329"/>
      <c r="AZ55" s="329"/>
      <c r="BA55" s="423"/>
      <c r="BB55" s="329"/>
      <c r="BC55" s="329"/>
      <c r="BD55" s="329"/>
      <c r="BE55" s="329"/>
      <c r="BF55" s="329"/>
      <c r="BG55" s="329"/>
      <c r="BH55" s="329"/>
      <c r="BI55" s="329"/>
      <c r="BJ55" s="329"/>
      <c r="BK55" s="329"/>
      <c r="BL55" s="422"/>
    </row>
    <row r="56" spans="1:64" x14ac:dyDescent="0.25">
      <c r="A56" s="625"/>
      <c r="B56" s="628"/>
      <c r="C56" s="361"/>
      <c r="D56" s="402" t="str">
        <f>'Payroll 2020'!A8</f>
        <v>Direction</v>
      </c>
      <c r="E56" s="398">
        <f>'Payroll 2020'!D8</f>
        <v>272480</v>
      </c>
      <c r="F56" s="344">
        <f>SUMIF($C$19:$C$54,D56,$F$19:$F$54)</f>
        <v>27000</v>
      </c>
      <c r="G56" s="473">
        <f>E56-F56</f>
        <v>245480</v>
      </c>
      <c r="H56" s="53"/>
      <c r="I56" s="53"/>
      <c r="J56" s="53"/>
      <c r="K56" s="53"/>
      <c r="L56" s="53"/>
      <c r="M56" s="53"/>
      <c r="N56" s="53"/>
      <c r="O56" s="53"/>
      <c r="P56" s="352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399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352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399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352"/>
    </row>
    <row r="57" spans="1:64" x14ac:dyDescent="0.25">
      <c r="A57" s="625"/>
      <c r="B57" s="628"/>
      <c r="C57" s="361"/>
      <c r="D57" s="402" t="str">
        <f>'Payroll 2020'!A9</f>
        <v>Sales</v>
      </c>
      <c r="E57" s="398">
        <f>'Payroll 2020'!D9</f>
        <v>167512</v>
      </c>
      <c r="F57" s="344">
        <f t="shared" ref="F57:F60" si="10">SUMIF($C$19:$C$54,D57,$F$19:$F$54)</f>
        <v>7000</v>
      </c>
      <c r="G57" s="473">
        <f t="shared" ref="G57:G60" si="11">E57-F57</f>
        <v>160512</v>
      </c>
      <c r="H57" s="53"/>
      <c r="I57" s="53"/>
      <c r="J57" s="53"/>
      <c r="K57" s="53"/>
      <c r="L57" s="53"/>
      <c r="M57" s="53"/>
      <c r="N57" s="53"/>
      <c r="O57" s="53"/>
      <c r="P57" s="352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399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352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399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352"/>
    </row>
    <row r="58" spans="1:64" x14ac:dyDescent="0.25">
      <c r="A58" s="625"/>
      <c r="B58" s="628"/>
      <c r="C58" s="361"/>
      <c r="D58" s="402" t="str">
        <f>'Payroll 2020'!A10</f>
        <v>Product Development</v>
      </c>
      <c r="E58" s="398">
        <f>'Payroll 2020'!D10</f>
        <v>437696</v>
      </c>
      <c r="F58" s="344">
        <f t="shared" si="10"/>
        <v>30800</v>
      </c>
      <c r="G58" s="473">
        <f t="shared" si="11"/>
        <v>406896</v>
      </c>
      <c r="H58" s="53"/>
      <c r="I58" s="53"/>
      <c r="J58" s="53"/>
      <c r="K58" s="53"/>
      <c r="L58" s="53"/>
      <c r="M58" s="53"/>
      <c r="N58" s="53"/>
      <c r="O58" s="53"/>
      <c r="P58" s="352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399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352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399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352"/>
    </row>
    <row r="59" spans="1:64" x14ac:dyDescent="0.25">
      <c r="A59" s="625"/>
      <c r="B59" s="628"/>
      <c r="C59" s="361"/>
      <c r="D59" s="402" t="str">
        <f>'Payroll 2020'!A11</f>
        <v>Marketing &amp; communication</v>
      </c>
      <c r="E59" s="398">
        <f>'Payroll 2020'!D11</f>
        <v>25024</v>
      </c>
      <c r="F59" s="344">
        <f t="shared" si="10"/>
        <v>0</v>
      </c>
      <c r="G59" s="473">
        <f t="shared" si="11"/>
        <v>25024</v>
      </c>
      <c r="H59" s="53"/>
      <c r="I59" s="53"/>
      <c r="J59" s="53"/>
      <c r="K59" s="53"/>
      <c r="L59" s="53"/>
      <c r="M59" s="53"/>
      <c r="N59" s="53"/>
      <c r="O59" s="53"/>
      <c r="P59" s="352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399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352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399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352"/>
    </row>
    <row r="60" spans="1:64" x14ac:dyDescent="0.25">
      <c r="A60" s="625"/>
      <c r="B60" s="628"/>
      <c r="C60" s="362"/>
      <c r="D60" s="403" t="str">
        <f>'Payroll 2020'!A12</f>
        <v>UX UI Design</v>
      </c>
      <c r="E60" s="413">
        <f>'Payroll 2020'!D12</f>
        <v>31536</v>
      </c>
      <c r="F60" s="283">
        <f t="shared" si="10"/>
        <v>0</v>
      </c>
      <c r="G60" s="465">
        <f t="shared" si="11"/>
        <v>31536</v>
      </c>
      <c r="H60" s="53"/>
      <c r="I60" s="53"/>
      <c r="J60" s="53"/>
      <c r="K60" s="53"/>
      <c r="L60" s="53"/>
      <c r="M60" s="53"/>
      <c r="N60" s="53"/>
      <c r="O60" s="53"/>
      <c r="P60" s="352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399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352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399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352"/>
    </row>
    <row r="61" spans="1:64" x14ac:dyDescent="0.25">
      <c r="A61" s="625"/>
      <c r="B61" s="628" t="s">
        <v>492</v>
      </c>
      <c r="C61" s="364"/>
      <c r="D61" s="401" t="s">
        <v>492</v>
      </c>
      <c r="E61" s="498">
        <v>2020</v>
      </c>
      <c r="F61" s="199">
        <v>2021</v>
      </c>
      <c r="G61" s="199">
        <v>2022</v>
      </c>
      <c r="H61" s="199">
        <v>2023</v>
      </c>
      <c r="I61" s="466">
        <v>2024</v>
      </c>
      <c r="J61" s="53"/>
      <c r="K61" s="53"/>
      <c r="L61" s="53"/>
      <c r="M61" s="53"/>
      <c r="N61" s="53"/>
      <c r="O61" s="53"/>
      <c r="P61" s="352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399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352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399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352"/>
    </row>
    <row r="62" spans="1:64" x14ac:dyDescent="0.25">
      <c r="A62" s="625"/>
      <c r="B62" s="628"/>
      <c r="C62" s="480" t="s">
        <v>497</v>
      </c>
      <c r="D62" s="402" t="s">
        <v>565</v>
      </c>
      <c r="E62" s="499">
        <f>'Payroll 2020-2024'!I7</f>
        <v>17.083333333333332</v>
      </c>
      <c r="F62" s="467">
        <f>'Payroll 2020-2024'!J7</f>
        <v>71.041666666666671</v>
      </c>
      <c r="G62" s="467">
        <f>'Payroll 2020-2024'!K7</f>
        <v>104.72916666666667</v>
      </c>
      <c r="H62" s="467">
        <f>'Payroll 2020-2024'!L7</f>
        <v>122.22604166666666</v>
      </c>
      <c r="I62" s="468">
        <f>'Payroll 2020-2024'!M7</f>
        <v>145.12208333333331</v>
      </c>
      <c r="J62" s="53"/>
      <c r="K62" s="53"/>
      <c r="L62" s="53"/>
      <c r="M62" s="53"/>
      <c r="N62" s="53"/>
      <c r="O62" s="53"/>
      <c r="P62" s="352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399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352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399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352"/>
    </row>
    <row r="63" spans="1:64" x14ac:dyDescent="0.25">
      <c r="A63" s="625"/>
      <c r="B63" s="628"/>
      <c r="C63" s="480" t="s">
        <v>498</v>
      </c>
      <c r="D63" s="402" t="str">
        <f>D62</f>
        <v>Total number of workers</v>
      </c>
      <c r="E63" s="409">
        <f>COUNTA(F19:F54)</f>
        <v>9</v>
      </c>
      <c r="F63" s="469">
        <f>E63*(1+'Payroll 2020-2024'!C4)</f>
        <v>40.5</v>
      </c>
      <c r="G63" s="469">
        <f>F63*(1+'Payroll 2020-2024'!D4)</f>
        <v>60.75</v>
      </c>
      <c r="H63" s="469">
        <f>G63*(1+'Payroll 2020-2024'!E4)</f>
        <v>69.862499999999997</v>
      </c>
      <c r="I63" s="470">
        <f>H63*(1+'Payroll 2020-2024'!F4)</f>
        <v>83.834999999999994</v>
      </c>
      <c r="J63" s="53"/>
      <c r="K63" s="53"/>
      <c r="L63" s="53"/>
      <c r="M63" s="53"/>
      <c r="N63" s="53"/>
      <c r="O63" s="53"/>
      <c r="P63" s="352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399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352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399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352"/>
    </row>
    <row r="64" spans="1:64" x14ac:dyDescent="0.25">
      <c r="A64" s="625"/>
      <c r="B64" s="628"/>
      <c r="C64" s="479" t="s">
        <v>507</v>
      </c>
      <c r="D64" s="403" t="str">
        <f>D63</f>
        <v>Total number of workers</v>
      </c>
      <c r="E64" s="410">
        <f>E63-E62</f>
        <v>-8.0833333333333321</v>
      </c>
      <c r="F64" s="471">
        <f t="shared" ref="F64:I64" si="12">F63-F62</f>
        <v>-30.541666666666671</v>
      </c>
      <c r="G64" s="471">
        <f t="shared" si="12"/>
        <v>-43.979166666666671</v>
      </c>
      <c r="H64" s="471">
        <f t="shared" si="12"/>
        <v>-52.363541666666663</v>
      </c>
      <c r="I64" s="472">
        <f t="shared" si="12"/>
        <v>-61.287083333333314</v>
      </c>
      <c r="J64" s="53"/>
      <c r="K64" s="53"/>
      <c r="L64" s="53"/>
      <c r="M64" s="53"/>
      <c r="N64" s="53"/>
      <c r="O64" s="53"/>
      <c r="P64" s="352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399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352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399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352"/>
    </row>
    <row r="65" spans="1:64" x14ac:dyDescent="0.25">
      <c r="A65" s="625"/>
      <c r="B65" s="628"/>
      <c r="C65" s="481" t="s">
        <v>497</v>
      </c>
      <c r="D65" s="401" t="s">
        <v>492</v>
      </c>
      <c r="E65" s="396">
        <f>'Payroll 2020-2024'!I15</f>
        <v>20769.816585365857</v>
      </c>
      <c r="F65" s="374">
        <f>'Payroll 2020-2024'!J15</f>
        <v>33135.230512741058</v>
      </c>
      <c r="G65" s="374">
        <f>'Payroll 2020-2024'!K15</f>
        <v>156380.40796381765</v>
      </c>
      <c r="H65" s="374">
        <f>'Payroll 2020-2024'!L15</f>
        <v>417855.26485482702</v>
      </c>
      <c r="I65" s="375">
        <f>'Payroll 2020-2024'!M15</f>
        <v>1192712.7270713979</v>
      </c>
      <c r="J65" s="53"/>
      <c r="K65" s="53"/>
      <c r="L65" s="53"/>
      <c r="M65" s="53"/>
      <c r="N65" s="53"/>
      <c r="O65" s="53"/>
      <c r="P65" s="352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399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352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399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352"/>
    </row>
    <row r="66" spans="1:64" x14ac:dyDescent="0.25">
      <c r="A66" s="625"/>
      <c r="B66" s="628"/>
      <c r="C66" s="480" t="s">
        <v>498</v>
      </c>
      <c r="D66" s="402" t="str">
        <f>D65</f>
        <v>Turnover per worker</v>
      </c>
      <c r="E66" s="388">
        <f>SUM('KPI Tracking data'!E183:P183)/'Spending tracking data'!E63</f>
        <v>2222.2222222222222</v>
      </c>
      <c r="F66" s="344">
        <f>SUM('KPI Tracking data'!Q183:AB183)/'Spending tracking data'!F63</f>
        <v>0</v>
      </c>
      <c r="G66" s="344">
        <f>SUM('KPI Tracking data'!AC183:AN183)/'Spending tracking data'!G63</f>
        <v>0</v>
      </c>
      <c r="H66" s="324">
        <f>SUM('KPI Tracking data'!AO183:AZ183)/'Spending tracking data'!H63</f>
        <v>0</v>
      </c>
      <c r="I66" s="369">
        <f>SUM('KPI Tracking data'!BA183:BL183)/'Spending tracking data'!I63</f>
        <v>0</v>
      </c>
      <c r="J66" s="53"/>
      <c r="K66" s="53"/>
      <c r="L66" s="53"/>
      <c r="M66" s="53"/>
      <c r="N66" s="53"/>
      <c r="O66" s="53"/>
      <c r="P66" s="352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399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352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399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352"/>
    </row>
    <row r="67" spans="1:64" x14ac:dyDescent="0.25">
      <c r="A67" s="625"/>
      <c r="B67" s="628"/>
      <c r="C67" s="479" t="s">
        <v>507</v>
      </c>
      <c r="D67" s="403" t="str">
        <f>D65</f>
        <v>Turnover per worker</v>
      </c>
      <c r="E67" s="413">
        <f>E66-E65</f>
        <v>-18547.594363143635</v>
      </c>
      <c r="F67" s="225">
        <f t="shared" ref="F67:I67" si="13">F66-F65</f>
        <v>-33135.230512741058</v>
      </c>
      <c r="G67" s="225">
        <f t="shared" si="13"/>
        <v>-156380.40796381765</v>
      </c>
      <c r="H67" s="225">
        <f t="shared" si="13"/>
        <v>-417855.26485482702</v>
      </c>
      <c r="I67" s="465">
        <f t="shared" si="13"/>
        <v>-1192712.7270713979</v>
      </c>
      <c r="J67" s="53"/>
      <c r="K67" s="53"/>
      <c r="L67" s="53"/>
      <c r="M67" s="53"/>
      <c r="N67" s="53"/>
      <c r="O67" s="53"/>
      <c r="P67" s="352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399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352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399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352"/>
    </row>
    <row r="68" spans="1:64" x14ac:dyDescent="0.25">
      <c r="A68" s="625"/>
      <c r="B68" s="628" t="s">
        <v>563</v>
      </c>
      <c r="C68" s="480" t="s">
        <v>497</v>
      </c>
      <c r="D68" s="402" t="str">
        <f>'Payroll 2020-2024'!H10</f>
        <v>URSSAF</v>
      </c>
      <c r="E68" s="500">
        <f>'Payroll 2020-2024'!H12</f>
        <v>0.2</v>
      </c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352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399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352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399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352"/>
    </row>
    <row r="69" spans="1:64" x14ac:dyDescent="0.25">
      <c r="A69" s="625"/>
      <c r="B69" s="628"/>
      <c r="C69" s="480" t="s">
        <v>498</v>
      </c>
      <c r="D69" s="402" t="s">
        <v>208</v>
      </c>
      <c r="E69" s="390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352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399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352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399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352"/>
    </row>
    <row r="70" spans="1:64" x14ac:dyDescent="0.25">
      <c r="A70" s="625"/>
      <c r="B70" s="628"/>
      <c r="C70" s="416" t="s">
        <v>507</v>
      </c>
      <c r="D70" s="402" t="s">
        <v>208</v>
      </c>
      <c r="E70" s="501">
        <f>(E69-E68)/E68</f>
        <v>-1</v>
      </c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352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399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352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399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352"/>
    </row>
    <row r="71" spans="1:64" x14ac:dyDescent="0.25">
      <c r="A71" s="625"/>
      <c r="B71" s="628"/>
      <c r="C71" s="481" t="s">
        <v>497</v>
      </c>
      <c r="D71" s="401" t="str">
        <f>'Payroll 2020-2024'!I10</f>
        <v>Impot à la source</v>
      </c>
      <c r="E71" s="502">
        <f>'Payroll 2020-2024'!I12</f>
        <v>0.12</v>
      </c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393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392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393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392"/>
      <c r="BB71" s="196"/>
      <c r="BC71" s="196"/>
      <c r="BD71" s="196"/>
      <c r="BE71" s="196"/>
      <c r="BF71" s="196"/>
      <c r="BG71" s="196"/>
      <c r="BH71" s="196"/>
      <c r="BI71" s="196"/>
      <c r="BJ71" s="196"/>
      <c r="BK71" s="196"/>
      <c r="BL71" s="393"/>
    </row>
    <row r="72" spans="1:64" x14ac:dyDescent="0.25">
      <c r="A72" s="625"/>
      <c r="B72" s="628"/>
      <c r="C72" s="480" t="s">
        <v>498</v>
      </c>
      <c r="D72" s="402" t="s">
        <v>209</v>
      </c>
      <c r="E72" s="50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352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399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352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399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352"/>
    </row>
    <row r="73" spans="1:64" x14ac:dyDescent="0.25">
      <c r="A73" s="625"/>
      <c r="B73" s="628"/>
      <c r="C73" s="479" t="s">
        <v>507</v>
      </c>
      <c r="D73" s="403" t="str">
        <f>D72</f>
        <v>Impot à la source</v>
      </c>
      <c r="E73" s="504">
        <f>(E72-E71)/E71</f>
        <v>-1</v>
      </c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48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491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48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491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487"/>
    </row>
    <row r="74" spans="1:64" x14ac:dyDescent="0.25">
      <c r="A74" s="625"/>
      <c r="B74" s="628"/>
      <c r="C74" s="480" t="s">
        <v>497</v>
      </c>
      <c r="D74" s="402" t="str">
        <f>'Payroll 2020-2024'!J10</f>
        <v>Employee Pension</v>
      </c>
      <c r="E74" s="500">
        <f>'Payroll 2020-2024'!J12</f>
        <v>0.2</v>
      </c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352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39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352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399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352"/>
    </row>
    <row r="75" spans="1:64" x14ac:dyDescent="0.25">
      <c r="A75" s="625"/>
      <c r="B75" s="628"/>
      <c r="C75" s="480" t="s">
        <v>498</v>
      </c>
      <c r="D75" s="402" t="s">
        <v>131</v>
      </c>
      <c r="E75" s="50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352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399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352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399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352"/>
    </row>
    <row r="76" spans="1:64" x14ac:dyDescent="0.25">
      <c r="A76" s="625"/>
      <c r="B76" s="628"/>
      <c r="C76" s="416" t="s">
        <v>507</v>
      </c>
      <c r="D76" s="402" t="str">
        <f>D75</f>
        <v>Employee Pension</v>
      </c>
      <c r="E76" s="501">
        <f>(E75-E74)/E74</f>
        <v>-1</v>
      </c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352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399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352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399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352"/>
    </row>
    <row r="77" spans="1:64" x14ac:dyDescent="0.25">
      <c r="A77" s="625"/>
      <c r="B77" s="628"/>
      <c r="C77" s="481" t="s">
        <v>497</v>
      </c>
      <c r="D77" s="401" t="str">
        <f>'Payroll 2020-2024'!L10</f>
        <v>Bonuses (of EBIT)</v>
      </c>
      <c r="E77" s="502">
        <f>'Payroll 2020-2024'!L12</f>
        <v>0.1</v>
      </c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393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392"/>
      <c r="AD77" s="196"/>
      <c r="AE77" s="196"/>
      <c r="AF77" s="196"/>
      <c r="AG77" s="196"/>
      <c r="AH77" s="196"/>
      <c r="AI77" s="196"/>
      <c r="AJ77" s="196"/>
      <c r="AK77" s="196"/>
      <c r="AL77" s="196"/>
      <c r="AM77" s="196"/>
      <c r="AN77" s="393"/>
      <c r="AO77" s="196"/>
      <c r="AP77" s="196"/>
      <c r="AQ77" s="196"/>
      <c r="AR77" s="196"/>
      <c r="AS77" s="196"/>
      <c r="AT77" s="196"/>
      <c r="AU77" s="196"/>
      <c r="AV77" s="196"/>
      <c r="AW77" s="196"/>
      <c r="AX77" s="196"/>
      <c r="AY77" s="196"/>
      <c r="AZ77" s="196"/>
      <c r="BA77" s="392"/>
      <c r="BB77" s="196"/>
      <c r="BC77" s="196"/>
      <c r="BD77" s="196"/>
      <c r="BE77" s="196"/>
      <c r="BF77" s="196"/>
      <c r="BG77" s="196"/>
      <c r="BH77" s="196"/>
      <c r="BI77" s="196"/>
      <c r="BJ77" s="196"/>
      <c r="BK77" s="196"/>
      <c r="BL77" s="393"/>
    </row>
    <row r="78" spans="1:64" x14ac:dyDescent="0.25">
      <c r="A78" s="625"/>
      <c r="B78" s="628"/>
      <c r="C78" s="480" t="s">
        <v>498</v>
      </c>
      <c r="D78" s="402" t="str">
        <f>'Payroll 2020-2024'!L10</f>
        <v>Bonuses (of EBIT)</v>
      </c>
      <c r="E78" s="390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352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399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352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399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352"/>
    </row>
    <row r="79" spans="1:64" ht="17" thickBot="1" x14ac:dyDescent="0.3">
      <c r="A79" s="626"/>
      <c r="B79" s="629"/>
      <c r="C79" s="483" t="s">
        <v>507</v>
      </c>
      <c r="D79" s="404" t="str">
        <f>D78</f>
        <v>Bonuses (of EBIT)</v>
      </c>
      <c r="E79" s="505">
        <f>(E78-E77)/E77</f>
        <v>-1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400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34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400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34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400"/>
    </row>
    <row r="80" spans="1:64" x14ac:dyDescent="0.25">
      <c r="A80" s="618">
        <v>4</v>
      </c>
      <c r="B80" s="621" t="s">
        <v>116</v>
      </c>
      <c r="C80" s="485" t="s">
        <v>497</v>
      </c>
      <c r="D80" s="514" t="str">
        <f>'Operating Expenses 2020'!A32</f>
        <v>Advertising &amp; Promotion</v>
      </c>
      <c r="E80" s="430">
        <f>'Operating Expenses 2020'!C32</f>
        <v>0</v>
      </c>
      <c r="F80" s="431">
        <f>'Operating Expenses 2020'!D32</f>
        <v>0</v>
      </c>
      <c r="G80" s="431">
        <f>'Operating Expenses 2020'!E32</f>
        <v>0</v>
      </c>
      <c r="H80" s="431">
        <f>'Operating Expenses 2020'!F32</f>
        <v>0</v>
      </c>
      <c r="I80" s="431">
        <f>'Operating Expenses 2020'!G32</f>
        <v>0</v>
      </c>
      <c r="J80" s="431">
        <f>'Operating Expenses 2020'!H32</f>
        <v>0</v>
      </c>
      <c r="K80" s="431">
        <f>'Operating Expenses 2020'!I32</f>
        <v>20000</v>
      </c>
      <c r="L80" s="431">
        <f>'Operating Expenses 2020'!J32</f>
        <v>26000</v>
      </c>
      <c r="M80" s="431">
        <f>'Operating Expenses 2020'!K32</f>
        <v>33800</v>
      </c>
      <c r="N80" s="431">
        <f>'Operating Expenses 2020'!L32</f>
        <v>43940</v>
      </c>
      <c r="O80" s="431">
        <f>'Operating Expenses 2020'!M32</f>
        <v>57122</v>
      </c>
      <c r="P80" s="432">
        <f>'Operating Expenses 2020'!N32</f>
        <v>74258.600000000006</v>
      </c>
      <c r="Q80" s="329"/>
      <c r="R80" s="329"/>
      <c r="S80" s="329"/>
      <c r="T80" s="329"/>
      <c r="U80" s="329"/>
      <c r="V80" s="329"/>
      <c r="W80" s="329"/>
      <c r="X80" s="329"/>
      <c r="Y80" s="329"/>
      <c r="Z80" s="329"/>
      <c r="AA80" s="329"/>
      <c r="AB80" s="329"/>
      <c r="AC80" s="423"/>
      <c r="AD80" s="329"/>
      <c r="AE80" s="329"/>
      <c r="AF80" s="329"/>
      <c r="AG80" s="329"/>
      <c r="AH80" s="329"/>
      <c r="AI80" s="329"/>
      <c r="AJ80" s="329"/>
      <c r="AK80" s="329"/>
      <c r="AL80" s="329"/>
      <c r="AM80" s="329"/>
      <c r="AN80" s="422"/>
      <c r="AO80" s="329"/>
      <c r="AP80" s="329"/>
      <c r="AQ80" s="329"/>
      <c r="AR80" s="329"/>
      <c r="AS80" s="329"/>
      <c r="AT80" s="329"/>
      <c r="AU80" s="329"/>
      <c r="AV80" s="329"/>
      <c r="AW80" s="329"/>
      <c r="AX80" s="329"/>
      <c r="AY80" s="329"/>
      <c r="AZ80" s="329"/>
      <c r="BA80" s="423"/>
      <c r="BB80" s="329"/>
      <c r="BC80" s="329"/>
      <c r="BD80" s="329"/>
      <c r="BE80" s="329"/>
      <c r="BF80" s="329"/>
      <c r="BG80" s="329"/>
      <c r="BH80" s="329"/>
      <c r="BI80" s="329"/>
      <c r="BJ80" s="329"/>
      <c r="BK80" s="329"/>
      <c r="BL80" s="422"/>
    </row>
    <row r="81" spans="1:64" x14ac:dyDescent="0.25">
      <c r="A81" s="619"/>
      <c r="B81" s="622"/>
      <c r="C81" s="480" t="s">
        <v>498</v>
      </c>
      <c r="D81" s="515" t="str">
        <f>D80</f>
        <v>Advertising &amp; Promotion</v>
      </c>
      <c r="E81" s="388">
        <v>0</v>
      </c>
      <c r="F81" s="344">
        <v>0</v>
      </c>
      <c r="G81" s="344">
        <v>0</v>
      </c>
      <c r="H81" s="344"/>
      <c r="I81" s="344"/>
      <c r="J81" s="344"/>
      <c r="K81" s="344"/>
      <c r="L81" s="344"/>
      <c r="M81" s="344"/>
      <c r="N81" s="344"/>
      <c r="O81" s="344"/>
      <c r="P81" s="345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399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352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399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352"/>
    </row>
    <row r="82" spans="1:64" x14ac:dyDescent="0.25">
      <c r="A82" s="619"/>
      <c r="B82" s="622"/>
      <c r="C82" s="416" t="s">
        <v>507</v>
      </c>
      <c r="D82" s="515" t="str">
        <f>D81</f>
        <v>Advertising &amp; Promotion</v>
      </c>
      <c r="E82" s="506">
        <f>E80-E81</f>
        <v>0</v>
      </c>
      <c r="F82" s="486">
        <f t="shared" ref="F82:P82" si="14">F80-F81</f>
        <v>0</v>
      </c>
      <c r="G82" s="486">
        <f t="shared" si="14"/>
        <v>0</v>
      </c>
      <c r="H82" s="486">
        <f t="shared" si="14"/>
        <v>0</v>
      </c>
      <c r="I82" s="486">
        <f t="shared" si="14"/>
        <v>0</v>
      </c>
      <c r="J82" s="486">
        <f t="shared" si="14"/>
        <v>0</v>
      </c>
      <c r="K82" s="486">
        <f t="shared" si="14"/>
        <v>20000</v>
      </c>
      <c r="L82" s="486">
        <f t="shared" si="14"/>
        <v>26000</v>
      </c>
      <c r="M82" s="486">
        <f t="shared" si="14"/>
        <v>33800</v>
      </c>
      <c r="N82" s="486">
        <f t="shared" si="14"/>
        <v>43940</v>
      </c>
      <c r="O82" s="486">
        <f t="shared" si="14"/>
        <v>57122</v>
      </c>
      <c r="P82" s="507">
        <f t="shared" si="14"/>
        <v>74258.600000000006</v>
      </c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399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352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399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352"/>
    </row>
    <row r="83" spans="1:64" x14ac:dyDescent="0.25">
      <c r="A83" s="619"/>
      <c r="B83" s="622"/>
      <c r="C83" s="481" t="s">
        <v>497</v>
      </c>
      <c r="D83" s="516" t="str">
        <f>'Operating Expenses 2020'!A33</f>
        <v>Depreciation &amp; Amortization</v>
      </c>
      <c r="E83" s="396">
        <f>'Operating Expenses 2020'!C33</f>
        <v>200</v>
      </c>
      <c r="F83" s="374">
        <f>'Operating Expenses 2020'!D33</f>
        <v>200</v>
      </c>
      <c r="G83" s="374">
        <f>'Operating Expenses 2020'!E33</f>
        <v>200</v>
      </c>
      <c r="H83" s="374">
        <f>'Operating Expenses 2020'!F33</f>
        <v>625</v>
      </c>
      <c r="I83" s="374">
        <f>'Operating Expenses 2020'!G33</f>
        <v>625</v>
      </c>
      <c r="J83" s="374">
        <f>'Operating Expenses 2020'!H33</f>
        <v>625</v>
      </c>
      <c r="K83" s="374">
        <f>'Operating Expenses 2020'!I33</f>
        <v>625</v>
      </c>
      <c r="L83" s="374">
        <f>'Operating Expenses 2020'!J33</f>
        <v>625</v>
      </c>
      <c r="M83" s="374">
        <f>'Operating Expenses 2020'!K33</f>
        <v>625</v>
      </c>
      <c r="N83" s="374">
        <f>'Operating Expenses 2020'!L33</f>
        <v>625</v>
      </c>
      <c r="O83" s="374">
        <f>'Operating Expenses 2020'!M33</f>
        <v>625</v>
      </c>
      <c r="P83" s="397">
        <f>'Operating Expenses 2020'!N33</f>
        <v>625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392"/>
      <c r="AD83" s="196"/>
      <c r="AE83" s="196"/>
      <c r="AF83" s="196"/>
      <c r="AG83" s="196"/>
      <c r="AH83" s="196"/>
      <c r="AI83" s="196"/>
      <c r="AJ83" s="196"/>
      <c r="AK83" s="196"/>
      <c r="AL83" s="196"/>
      <c r="AM83" s="196"/>
      <c r="AN83" s="393"/>
      <c r="AO83" s="196"/>
      <c r="AP83" s="196"/>
      <c r="AQ83" s="196"/>
      <c r="AR83" s="196"/>
      <c r="AS83" s="196"/>
      <c r="AT83" s="196"/>
      <c r="AU83" s="196"/>
      <c r="AV83" s="196"/>
      <c r="AW83" s="196"/>
      <c r="AX83" s="196"/>
      <c r="AY83" s="196"/>
      <c r="AZ83" s="196"/>
      <c r="BA83" s="392"/>
      <c r="BB83" s="196"/>
      <c r="BC83" s="196"/>
      <c r="BD83" s="196"/>
      <c r="BE83" s="196"/>
      <c r="BF83" s="196"/>
      <c r="BG83" s="196"/>
      <c r="BH83" s="196"/>
      <c r="BI83" s="196"/>
      <c r="BJ83" s="196"/>
      <c r="BK83" s="196"/>
      <c r="BL83" s="393"/>
    </row>
    <row r="84" spans="1:64" x14ac:dyDescent="0.25">
      <c r="A84" s="619"/>
      <c r="B84" s="622"/>
      <c r="C84" s="480" t="s">
        <v>498</v>
      </c>
      <c r="D84" s="515" t="str">
        <f>D83</f>
        <v>Depreciation &amp; Amortization</v>
      </c>
      <c r="E84" s="388">
        <v>200</v>
      </c>
      <c r="F84" s="344">
        <v>200</v>
      </c>
      <c r="G84" s="344">
        <v>200</v>
      </c>
      <c r="H84" s="344"/>
      <c r="I84" s="344"/>
      <c r="J84" s="344"/>
      <c r="K84" s="344"/>
      <c r="L84" s="344"/>
      <c r="M84" s="344"/>
      <c r="N84" s="344"/>
      <c r="O84" s="344"/>
      <c r="P84" s="345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399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352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399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352"/>
    </row>
    <row r="85" spans="1:64" x14ac:dyDescent="0.25">
      <c r="A85" s="619"/>
      <c r="B85" s="622"/>
      <c r="C85" s="479" t="s">
        <v>507</v>
      </c>
      <c r="D85" s="517" t="str">
        <f>D84</f>
        <v>Depreciation &amp; Amortization</v>
      </c>
      <c r="E85" s="508">
        <f>E83-E84</f>
        <v>0</v>
      </c>
      <c r="F85" s="463">
        <f t="shared" ref="F85" si="15">F83-F84</f>
        <v>0</v>
      </c>
      <c r="G85" s="463">
        <f t="shared" ref="G85" si="16">G83-G84</f>
        <v>0</v>
      </c>
      <c r="H85" s="463">
        <f t="shared" ref="H85" si="17">H83-H84</f>
        <v>625</v>
      </c>
      <c r="I85" s="463">
        <f t="shared" ref="I85" si="18">I83-I84</f>
        <v>625</v>
      </c>
      <c r="J85" s="463">
        <f t="shared" ref="J85" si="19">J83-J84</f>
        <v>625</v>
      </c>
      <c r="K85" s="463">
        <f t="shared" ref="K85" si="20">K83-K84</f>
        <v>625</v>
      </c>
      <c r="L85" s="463">
        <f t="shared" ref="L85" si="21">L83-L84</f>
        <v>625</v>
      </c>
      <c r="M85" s="463">
        <f t="shared" ref="M85" si="22">M83-M84</f>
        <v>625</v>
      </c>
      <c r="N85" s="463">
        <f t="shared" ref="N85" si="23">N83-N84</f>
        <v>625</v>
      </c>
      <c r="O85" s="463">
        <f t="shared" ref="O85" si="24">O83-O84</f>
        <v>625</v>
      </c>
      <c r="P85" s="509">
        <f t="shared" ref="P85" si="25">P83-P84</f>
        <v>625</v>
      </c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491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48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491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487"/>
    </row>
    <row r="86" spans="1:64" x14ac:dyDescent="0.25">
      <c r="A86" s="619"/>
      <c r="B86" s="622"/>
      <c r="C86" s="480" t="s">
        <v>497</v>
      </c>
      <c r="D86" s="515" t="str">
        <f>'Operating Expenses 2020'!A34</f>
        <v>General &amp; Administrative</v>
      </c>
      <c r="E86" s="398">
        <f>'Operating Expenses 2020'!C34</f>
        <v>1000</v>
      </c>
      <c r="F86" s="357">
        <f>'Operating Expenses 2020'!D34</f>
        <v>1000</v>
      </c>
      <c r="G86" s="357">
        <f>'Operating Expenses 2020'!E34</f>
        <v>1000</v>
      </c>
      <c r="H86" s="357">
        <f>'Operating Expenses 2020'!F34</f>
        <v>1030</v>
      </c>
      <c r="I86" s="357">
        <f>'Operating Expenses 2020'!G34</f>
        <v>1060.9000000000001</v>
      </c>
      <c r="J86" s="357">
        <f>'Operating Expenses 2020'!H34</f>
        <v>1092.7270000000001</v>
      </c>
      <c r="K86" s="357">
        <f>'Operating Expenses 2020'!I34</f>
        <v>1125.50881</v>
      </c>
      <c r="L86" s="357">
        <f>'Operating Expenses 2020'!J34</f>
        <v>1159.2740743000002</v>
      </c>
      <c r="M86" s="357">
        <f>'Operating Expenses 2020'!K34</f>
        <v>1194.0522965290002</v>
      </c>
      <c r="N86" s="357">
        <f>'Operating Expenses 2020'!L34</f>
        <v>1229.8738654248702</v>
      </c>
      <c r="O86" s="357">
        <f>'Operating Expenses 2020'!M34</f>
        <v>1266.7700813876163</v>
      </c>
      <c r="P86" s="358">
        <f>'Operating Expenses 2020'!N34</f>
        <v>1304.7731838292448</v>
      </c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399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352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399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352"/>
    </row>
    <row r="87" spans="1:64" x14ac:dyDescent="0.25">
      <c r="A87" s="619"/>
      <c r="B87" s="622"/>
      <c r="C87" s="480" t="s">
        <v>498</v>
      </c>
      <c r="D87" s="515" t="str">
        <f>D86</f>
        <v>General &amp; Administrative</v>
      </c>
      <c r="E87" s="388">
        <v>300</v>
      </c>
      <c r="F87" s="344">
        <v>300</v>
      </c>
      <c r="G87" s="344">
        <v>300</v>
      </c>
      <c r="H87" s="344"/>
      <c r="I87" s="344"/>
      <c r="J87" s="344"/>
      <c r="K87" s="344"/>
      <c r="L87" s="344"/>
      <c r="M87" s="344"/>
      <c r="N87" s="344"/>
      <c r="O87" s="344"/>
      <c r="P87" s="345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399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352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399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352"/>
    </row>
    <row r="88" spans="1:64" x14ac:dyDescent="0.25">
      <c r="A88" s="619"/>
      <c r="B88" s="622"/>
      <c r="C88" s="416" t="s">
        <v>507</v>
      </c>
      <c r="D88" s="515" t="str">
        <f>D87</f>
        <v>General &amp; Administrative</v>
      </c>
      <c r="E88" s="506">
        <f>E86-E87</f>
        <v>700</v>
      </c>
      <c r="F88" s="486">
        <f t="shared" ref="F88" si="26">F86-F87</f>
        <v>700</v>
      </c>
      <c r="G88" s="486">
        <f t="shared" ref="G88" si="27">G86-G87</f>
        <v>700</v>
      </c>
      <c r="H88" s="486">
        <f t="shared" ref="H88" si="28">H86-H87</f>
        <v>1030</v>
      </c>
      <c r="I88" s="486">
        <f t="shared" ref="I88" si="29">I86-I87</f>
        <v>1060.9000000000001</v>
      </c>
      <c r="J88" s="486">
        <f t="shared" ref="J88" si="30">J86-J87</f>
        <v>1092.7270000000001</v>
      </c>
      <c r="K88" s="486">
        <f t="shared" ref="K88" si="31">K86-K87</f>
        <v>1125.50881</v>
      </c>
      <c r="L88" s="486">
        <f t="shared" ref="L88" si="32">L86-L87</f>
        <v>1159.2740743000002</v>
      </c>
      <c r="M88" s="486">
        <f t="shared" ref="M88" si="33">M86-M87</f>
        <v>1194.0522965290002</v>
      </c>
      <c r="N88" s="486">
        <f t="shared" ref="N88" si="34">N86-N87</f>
        <v>1229.8738654248702</v>
      </c>
      <c r="O88" s="486">
        <f t="shared" ref="O88" si="35">O86-O87</f>
        <v>1266.7700813876163</v>
      </c>
      <c r="P88" s="507">
        <f t="shared" ref="P88" si="36">P86-P87</f>
        <v>1304.7731838292448</v>
      </c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399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352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399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352"/>
    </row>
    <row r="89" spans="1:64" x14ac:dyDescent="0.25">
      <c r="A89" s="619"/>
      <c r="B89" s="622"/>
      <c r="C89" s="481" t="s">
        <v>497</v>
      </c>
      <c r="D89" s="516" t="str">
        <f>'Operating Expenses 2020'!A35</f>
        <v>Insurance</v>
      </c>
      <c r="E89" s="396">
        <f>'Operating Expenses 2020'!C35</f>
        <v>500</v>
      </c>
      <c r="F89" s="374">
        <f>'Operating Expenses 2020'!D35</f>
        <v>500</v>
      </c>
      <c r="G89" s="374">
        <f>'Operating Expenses 2020'!E35</f>
        <v>500</v>
      </c>
      <c r="H89" s="374">
        <f>'Operating Expenses 2020'!F35</f>
        <v>510</v>
      </c>
      <c r="I89" s="374">
        <f>'Operating Expenses 2020'!G35</f>
        <v>520.20000000000005</v>
      </c>
      <c r="J89" s="374">
        <f>'Operating Expenses 2020'!H35</f>
        <v>530.60400000000004</v>
      </c>
      <c r="K89" s="374">
        <f>'Operating Expenses 2020'!I35</f>
        <v>541.21608000000003</v>
      </c>
      <c r="L89" s="374">
        <f>'Operating Expenses 2020'!J35</f>
        <v>552.0404016</v>
      </c>
      <c r="M89" s="374">
        <f>'Operating Expenses 2020'!K35</f>
        <v>563.08120963199997</v>
      </c>
      <c r="N89" s="374">
        <f>'Operating Expenses 2020'!L35</f>
        <v>574.34283382464002</v>
      </c>
      <c r="O89" s="374">
        <f>'Operating Expenses 2020'!M35</f>
        <v>585.82969050113286</v>
      </c>
      <c r="P89" s="397">
        <f>'Operating Expenses 2020'!N35</f>
        <v>597.54628431115555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392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393"/>
      <c r="AO89" s="196"/>
      <c r="AP89" s="196"/>
      <c r="AQ89" s="196"/>
      <c r="AR89" s="196"/>
      <c r="AS89" s="196"/>
      <c r="AT89" s="196"/>
      <c r="AU89" s="196"/>
      <c r="AV89" s="196"/>
      <c r="AW89" s="196"/>
      <c r="AX89" s="196"/>
      <c r="AY89" s="196"/>
      <c r="AZ89" s="196"/>
      <c r="BA89" s="392"/>
      <c r="BB89" s="196"/>
      <c r="BC89" s="196"/>
      <c r="BD89" s="196"/>
      <c r="BE89" s="196"/>
      <c r="BF89" s="196"/>
      <c r="BG89" s="196"/>
      <c r="BH89" s="196"/>
      <c r="BI89" s="196"/>
      <c r="BJ89" s="196"/>
      <c r="BK89" s="196"/>
      <c r="BL89" s="393"/>
    </row>
    <row r="90" spans="1:64" x14ac:dyDescent="0.25">
      <c r="A90" s="619"/>
      <c r="B90" s="622"/>
      <c r="C90" s="480" t="s">
        <v>498</v>
      </c>
      <c r="D90" s="515" t="str">
        <f>D89</f>
        <v>Insurance</v>
      </c>
      <c r="E90" s="388">
        <v>1000</v>
      </c>
      <c r="F90" s="344">
        <v>1000</v>
      </c>
      <c r="G90" s="344">
        <v>1000</v>
      </c>
      <c r="H90" s="344"/>
      <c r="I90" s="344"/>
      <c r="J90" s="344"/>
      <c r="K90" s="344"/>
      <c r="L90" s="344"/>
      <c r="M90" s="344"/>
      <c r="N90" s="344"/>
      <c r="O90" s="344"/>
      <c r="P90" s="345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399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352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399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352"/>
    </row>
    <row r="91" spans="1:64" x14ac:dyDescent="0.25">
      <c r="A91" s="619"/>
      <c r="B91" s="622"/>
      <c r="C91" s="479" t="s">
        <v>507</v>
      </c>
      <c r="D91" s="517" t="str">
        <f>D90</f>
        <v>Insurance</v>
      </c>
      <c r="E91" s="508">
        <f>E89-E90</f>
        <v>-500</v>
      </c>
      <c r="F91" s="463">
        <f t="shared" ref="F91" si="37">F89-F90</f>
        <v>-500</v>
      </c>
      <c r="G91" s="463">
        <f t="shared" ref="G91" si="38">G89-G90</f>
        <v>-500</v>
      </c>
      <c r="H91" s="463">
        <f t="shared" ref="H91" si="39">H89-H90</f>
        <v>510</v>
      </c>
      <c r="I91" s="463">
        <f t="shared" ref="I91" si="40">I89-I90</f>
        <v>520.20000000000005</v>
      </c>
      <c r="J91" s="463">
        <f t="shared" ref="J91" si="41">J89-J90</f>
        <v>530.60400000000004</v>
      </c>
      <c r="K91" s="463">
        <f t="shared" ref="K91" si="42">K89-K90</f>
        <v>541.21608000000003</v>
      </c>
      <c r="L91" s="463">
        <f t="shared" ref="L91" si="43">L89-L90</f>
        <v>552.0404016</v>
      </c>
      <c r="M91" s="463">
        <f t="shared" ref="M91" si="44">M89-M90</f>
        <v>563.08120963199997</v>
      </c>
      <c r="N91" s="463">
        <f t="shared" ref="N91" si="45">N89-N90</f>
        <v>574.34283382464002</v>
      </c>
      <c r="O91" s="463">
        <f t="shared" ref="O91" si="46">O89-O90</f>
        <v>585.82969050113286</v>
      </c>
      <c r="P91" s="509">
        <f t="shared" ref="P91" si="47">P89-P90</f>
        <v>597.54628431115555</v>
      </c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491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48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491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487"/>
    </row>
    <row r="92" spans="1:64" x14ac:dyDescent="0.25">
      <c r="A92" s="619"/>
      <c r="B92" s="622"/>
      <c r="C92" s="480" t="s">
        <v>497</v>
      </c>
      <c r="D92" s="515" t="str">
        <f>'Operating Expenses 2020'!A36</f>
        <v>Marketing</v>
      </c>
      <c r="E92" s="398">
        <f>'Operating Expenses 2020'!C36</f>
        <v>0</v>
      </c>
      <c r="F92" s="357">
        <f>'Operating Expenses 2020'!D36</f>
        <v>0</v>
      </c>
      <c r="G92" s="357">
        <f>'Operating Expenses 2020'!E36</f>
        <v>0</v>
      </c>
      <c r="H92" s="357">
        <f>'Operating Expenses 2020'!F36</f>
        <v>0</v>
      </c>
      <c r="I92" s="357">
        <f>'Operating Expenses 2020'!G36</f>
        <v>0</v>
      </c>
      <c r="J92" s="357">
        <f>'Operating Expenses 2020'!H36</f>
        <v>0</v>
      </c>
      <c r="K92" s="357">
        <f>'Operating Expenses 2020'!I36</f>
        <v>50000</v>
      </c>
      <c r="L92" s="357">
        <f>'Operating Expenses 2020'!J36</f>
        <v>51500</v>
      </c>
      <c r="M92" s="357">
        <f>'Operating Expenses 2020'!K36</f>
        <v>53045</v>
      </c>
      <c r="N92" s="357">
        <f>'Operating Expenses 2020'!L36</f>
        <v>54636.35</v>
      </c>
      <c r="O92" s="357">
        <f>'Operating Expenses 2020'!M36</f>
        <v>56275.440499999997</v>
      </c>
      <c r="P92" s="358">
        <f>'Operating Expenses 2020'!N36</f>
        <v>57963.703714999996</v>
      </c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399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352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399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352"/>
    </row>
    <row r="93" spans="1:64" x14ac:dyDescent="0.25">
      <c r="A93" s="619"/>
      <c r="B93" s="622"/>
      <c r="C93" s="480" t="s">
        <v>498</v>
      </c>
      <c r="D93" s="515" t="str">
        <f>D92</f>
        <v>Marketing</v>
      </c>
      <c r="E93" s="388">
        <v>0</v>
      </c>
      <c r="F93" s="344">
        <v>0</v>
      </c>
      <c r="G93" s="344">
        <v>5000</v>
      </c>
      <c r="H93" s="344"/>
      <c r="I93" s="344"/>
      <c r="J93" s="344"/>
      <c r="K93" s="344"/>
      <c r="L93" s="344"/>
      <c r="M93" s="344"/>
      <c r="N93" s="344"/>
      <c r="O93" s="344"/>
      <c r="P93" s="345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399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352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399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352"/>
    </row>
    <row r="94" spans="1:64" x14ac:dyDescent="0.25">
      <c r="A94" s="619"/>
      <c r="B94" s="622"/>
      <c r="C94" s="416" t="s">
        <v>507</v>
      </c>
      <c r="D94" s="515" t="str">
        <f>D93</f>
        <v>Marketing</v>
      </c>
      <c r="E94" s="506">
        <f>E92-E93</f>
        <v>0</v>
      </c>
      <c r="F94" s="486">
        <f t="shared" ref="F94" si="48">F92-F93</f>
        <v>0</v>
      </c>
      <c r="G94" s="486">
        <f t="shared" ref="G94" si="49">G92-G93</f>
        <v>-5000</v>
      </c>
      <c r="H94" s="486">
        <f t="shared" ref="H94" si="50">H92-H93</f>
        <v>0</v>
      </c>
      <c r="I94" s="486">
        <f t="shared" ref="I94" si="51">I92-I93</f>
        <v>0</v>
      </c>
      <c r="J94" s="486">
        <f t="shared" ref="J94" si="52">J92-J93</f>
        <v>0</v>
      </c>
      <c r="K94" s="486">
        <f t="shared" ref="K94" si="53">K92-K93</f>
        <v>50000</v>
      </c>
      <c r="L94" s="486">
        <f t="shared" ref="L94" si="54">L92-L93</f>
        <v>51500</v>
      </c>
      <c r="M94" s="486">
        <f t="shared" ref="M94" si="55">M92-M93</f>
        <v>53045</v>
      </c>
      <c r="N94" s="486">
        <f t="shared" ref="N94" si="56">N92-N93</f>
        <v>54636.35</v>
      </c>
      <c r="O94" s="486">
        <f t="shared" ref="O94" si="57">O92-O93</f>
        <v>56275.440499999997</v>
      </c>
      <c r="P94" s="507">
        <f t="shared" ref="P94" si="58">P92-P93</f>
        <v>57963.703714999996</v>
      </c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399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352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399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352"/>
    </row>
    <row r="95" spans="1:64" x14ac:dyDescent="0.25">
      <c r="A95" s="619"/>
      <c r="B95" s="622"/>
      <c r="C95" s="481" t="s">
        <v>497</v>
      </c>
      <c r="D95" s="516" t="str">
        <f>'Operating Expenses 2020'!A37</f>
        <v>Maintenance</v>
      </c>
      <c r="E95" s="396">
        <f>'Operating Expenses 2020'!C37</f>
        <v>150</v>
      </c>
      <c r="F95" s="374">
        <f>'Operating Expenses 2020'!D37</f>
        <v>153</v>
      </c>
      <c r="G95" s="374">
        <f>'Operating Expenses 2020'!E37</f>
        <v>156.06</v>
      </c>
      <c r="H95" s="374">
        <f>'Operating Expenses 2020'!F37</f>
        <v>159.18120000000002</v>
      </c>
      <c r="I95" s="374">
        <f>'Operating Expenses 2020'!G37</f>
        <v>162.36482400000003</v>
      </c>
      <c r="J95" s="374">
        <f>'Operating Expenses 2020'!H37</f>
        <v>165.61212048000004</v>
      </c>
      <c r="K95" s="374">
        <f>'Operating Expenses 2020'!I37</f>
        <v>168.92436288960005</v>
      </c>
      <c r="L95" s="374">
        <f>'Operating Expenses 2020'!J37</f>
        <v>172.30285014739206</v>
      </c>
      <c r="M95" s="374">
        <f>'Operating Expenses 2020'!K37</f>
        <v>175.7489071503399</v>
      </c>
      <c r="N95" s="374">
        <f>'Operating Expenses 2020'!L37</f>
        <v>179.2638852933467</v>
      </c>
      <c r="O95" s="374">
        <f>'Operating Expenses 2020'!M37</f>
        <v>182.84916299921363</v>
      </c>
      <c r="P95" s="397">
        <f>'Operating Expenses 2020'!N37</f>
        <v>186.50614625919792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392"/>
      <c r="AD95" s="196"/>
      <c r="AE95" s="196"/>
      <c r="AF95" s="196"/>
      <c r="AG95" s="196"/>
      <c r="AH95" s="196"/>
      <c r="AI95" s="196"/>
      <c r="AJ95" s="196"/>
      <c r="AK95" s="196"/>
      <c r="AL95" s="196"/>
      <c r="AM95" s="196"/>
      <c r="AN95" s="393"/>
      <c r="AO95" s="196"/>
      <c r="AP95" s="196"/>
      <c r="AQ95" s="196"/>
      <c r="AR95" s="196"/>
      <c r="AS95" s="196"/>
      <c r="AT95" s="196"/>
      <c r="AU95" s="196"/>
      <c r="AV95" s="196"/>
      <c r="AW95" s="196"/>
      <c r="AX95" s="196"/>
      <c r="AY95" s="196"/>
      <c r="AZ95" s="196"/>
      <c r="BA95" s="392"/>
      <c r="BB95" s="196"/>
      <c r="BC95" s="196"/>
      <c r="BD95" s="196"/>
      <c r="BE95" s="196"/>
      <c r="BF95" s="196"/>
      <c r="BG95" s="196"/>
      <c r="BH95" s="196"/>
      <c r="BI95" s="196"/>
      <c r="BJ95" s="196"/>
      <c r="BK95" s="196"/>
      <c r="BL95" s="393"/>
    </row>
    <row r="96" spans="1:64" x14ac:dyDescent="0.25">
      <c r="A96" s="619"/>
      <c r="B96" s="622"/>
      <c r="C96" s="480" t="s">
        <v>498</v>
      </c>
      <c r="D96" s="515" t="str">
        <f>D95</f>
        <v>Maintenance</v>
      </c>
      <c r="E96" s="388">
        <v>0</v>
      </c>
      <c r="F96" s="344">
        <v>0</v>
      </c>
      <c r="G96" s="344">
        <v>0</v>
      </c>
      <c r="H96" s="344"/>
      <c r="I96" s="344"/>
      <c r="J96" s="344"/>
      <c r="K96" s="344"/>
      <c r="L96" s="344"/>
      <c r="M96" s="344"/>
      <c r="N96" s="344"/>
      <c r="O96" s="344"/>
      <c r="P96" s="345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399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352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399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352"/>
    </row>
    <row r="97" spans="1:64" x14ac:dyDescent="0.25">
      <c r="A97" s="619"/>
      <c r="B97" s="622"/>
      <c r="C97" s="479" t="s">
        <v>507</v>
      </c>
      <c r="D97" s="517" t="str">
        <f>D96</f>
        <v>Maintenance</v>
      </c>
      <c r="E97" s="508">
        <f>E95-E96</f>
        <v>150</v>
      </c>
      <c r="F97" s="463">
        <f t="shared" ref="F97" si="59">F95-F96</f>
        <v>153</v>
      </c>
      <c r="G97" s="463">
        <f t="shared" ref="G97" si="60">G95-G96</f>
        <v>156.06</v>
      </c>
      <c r="H97" s="463">
        <f t="shared" ref="H97" si="61">H95-H96</f>
        <v>159.18120000000002</v>
      </c>
      <c r="I97" s="463">
        <f t="shared" ref="I97" si="62">I95-I96</f>
        <v>162.36482400000003</v>
      </c>
      <c r="J97" s="463">
        <f t="shared" ref="J97" si="63">J95-J96</f>
        <v>165.61212048000004</v>
      </c>
      <c r="K97" s="463">
        <f t="shared" ref="K97" si="64">K95-K96</f>
        <v>168.92436288960005</v>
      </c>
      <c r="L97" s="463">
        <f t="shared" ref="L97" si="65">L95-L96</f>
        <v>172.30285014739206</v>
      </c>
      <c r="M97" s="463">
        <f t="shared" ref="M97" si="66">M95-M96</f>
        <v>175.7489071503399</v>
      </c>
      <c r="N97" s="463">
        <f t="shared" ref="N97" si="67">N95-N96</f>
        <v>179.2638852933467</v>
      </c>
      <c r="O97" s="463">
        <f t="shared" ref="O97" si="68">O95-O96</f>
        <v>182.84916299921363</v>
      </c>
      <c r="P97" s="509">
        <f t="shared" ref="P97" si="69">P95-P96</f>
        <v>186.50614625919792</v>
      </c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491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48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491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487"/>
    </row>
    <row r="98" spans="1:64" x14ac:dyDescent="0.25">
      <c r="A98" s="619"/>
      <c r="B98" s="622"/>
      <c r="C98" s="480" t="s">
        <v>497</v>
      </c>
      <c r="D98" s="515" t="str">
        <f>'Operating Expenses 2020'!A38</f>
        <v>Office Rent</v>
      </c>
      <c r="E98" s="398">
        <f>'Operating Expenses 2020'!C38</f>
        <v>10600</v>
      </c>
      <c r="F98" s="357">
        <f>'Operating Expenses 2020'!D38</f>
        <v>10812</v>
      </c>
      <c r="G98" s="357">
        <f>'Operating Expenses 2020'!E38</f>
        <v>0</v>
      </c>
      <c r="H98" s="357">
        <f>'Operating Expenses 2020'!F38</f>
        <v>0</v>
      </c>
      <c r="I98" s="357">
        <f>'Operating Expenses 2020'!G38</f>
        <v>0</v>
      </c>
      <c r="J98" s="357">
        <f>'Operating Expenses 2020'!H38</f>
        <v>30000</v>
      </c>
      <c r="K98" s="357">
        <f>'Operating Expenses 2020'!I38</f>
        <v>10000</v>
      </c>
      <c r="L98" s="357">
        <f>'Operating Expenses 2020'!J38</f>
        <v>10200</v>
      </c>
      <c r="M98" s="357">
        <f>'Operating Expenses 2020'!K38</f>
        <v>10404</v>
      </c>
      <c r="N98" s="357">
        <f>'Operating Expenses 2020'!L38</f>
        <v>10612.08</v>
      </c>
      <c r="O98" s="357">
        <f>'Operating Expenses 2020'!M38</f>
        <v>10824.321599999999</v>
      </c>
      <c r="P98" s="358">
        <f>'Operating Expenses 2020'!N38</f>
        <v>11040.808031999999</v>
      </c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399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352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399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352"/>
    </row>
    <row r="99" spans="1:64" x14ac:dyDescent="0.25">
      <c r="A99" s="619"/>
      <c r="B99" s="622"/>
      <c r="C99" s="480" t="s">
        <v>498</v>
      </c>
      <c r="D99" s="515" t="str">
        <f>D98</f>
        <v>Office Rent</v>
      </c>
      <c r="E99" s="388">
        <v>11000</v>
      </c>
      <c r="F99" s="344">
        <v>10500</v>
      </c>
      <c r="G99" s="344">
        <v>10000</v>
      </c>
      <c r="H99" s="344"/>
      <c r="I99" s="344"/>
      <c r="J99" s="344"/>
      <c r="K99" s="344"/>
      <c r="L99" s="344"/>
      <c r="M99" s="344"/>
      <c r="N99" s="344"/>
      <c r="O99" s="344"/>
      <c r="P99" s="345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399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352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399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352"/>
    </row>
    <row r="100" spans="1:64" x14ac:dyDescent="0.25">
      <c r="A100" s="619"/>
      <c r="B100" s="622"/>
      <c r="C100" s="416" t="s">
        <v>507</v>
      </c>
      <c r="D100" s="515" t="str">
        <f>D99</f>
        <v>Office Rent</v>
      </c>
      <c r="E100" s="506">
        <f>E98-E99</f>
        <v>-400</v>
      </c>
      <c r="F100" s="486">
        <f t="shared" ref="F100" si="70">F98-F99</f>
        <v>312</v>
      </c>
      <c r="G100" s="486">
        <f t="shared" ref="G100" si="71">G98-G99</f>
        <v>-10000</v>
      </c>
      <c r="H100" s="486">
        <f t="shared" ref="H100" si="72">H98-H99</f>
        <v>0</v>
      </c>
      <c r="I100" s="486">
        <f t="shared" ref="I100" si="73">I98-I99</f>
        <v>0</v>
      </c>
      <c r="J100" s="486">
        <f t="shared" ref="J100" si="74">J98-J99</f>
        <v>30000</v>
      </c>
      <c r="K100" s="486">
        <f t="shared" ref="K100" si="75">K98-K99</f>
        <v>10000</v>
      </c>
      <c r="L100" s="486">
        <f t="shared" ref="L100" si="76">L98-L99</f>
        <v>10200</v>
      </c>
      <c r="M100" s="486">
        <f t="shared" ref="M100" si="77">M98-M99</f>
        <v>10404</v>
      </c>
      <c r="N100" s="486">
        <f t="shared" ref="N100" si="78">N98-N99</f>
        <v>10612.08</v>
      </c>
      <c r="O100" s="486">
        <f t="shared" ref="O100" si="79">O98-O99</f>
        <v>10824.321599999999</v>
      </c>
      <c r="P100" s="507">
        <f t="shared" ref="P100" si="80">P98-P99</f>
        <v>11040.808031999999</v>
      </c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399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352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399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352"/>
    </row>
    <row r="101" spans="1:64" x14ac:dyDescent="0.25">
      <c r="A101" s="619"/>
      <c r="B101" s="622"/>
      <c r="C101" s="481" t="s">
        <v>497</v>
      </c>
      <c r="D101" s="516" t="str">
        <f>'Operating Expenses 2020'!A39</f>
        <v>Professional Fees</v>
      </c>
      <c r="E101" s="396">
        <f>'Operating Expenses 2020'!C39</f>
        <v>6800</v>
      </c>
      <c r="F101" s="374">
        <f>'Operating Expenses 2020'!D39</f>
        <v>6800</v>
      </c>
      <c r="G101" s="374">
        <f>'Operating Expenses 2020'!E39</f>
        <v>31800</v>
      </c>
      <c r="H101" s="374">
        <f>'Operating Expenses 2020'!F39</f>
        <v>0</v>
      </c>
      <c r="I101" s="374">
        <f>'Operating Expenses 2020'!G39</f>
        <v>0</v>
      </c>
      <c r="J101" s="374">
        <f>'Operating Expenses 2020'!H39</f>
        <v>23909.638999999999</v>
      </c>
      <c r="K101" s="374">
        <f>'Operating Expenses 2020'!I39</f>
        <v>24148.735389999998</v>
      </c>
      <c r="L101" s="374">
        <f>'Operating Expenses 2020'!J39</f>
        <v>24390.222743899998</v>
      </c>
      <c r="M101" s="374">
        <f>'Operating Expenses 2020'!K39</f>
        <v>24634.124971338999</v>
      </c>
      <c r="N101" s="374">
        <f>'Operating Expenses 2020'!L39</f>
        <v>24880.466221052389</v>
      </c>
      <c r="O101" s="374">
        <f>'Operating Expenses 2020'!M39</f>
        <v>25129.270883262914</v>
      </c>
      <c r="P101" s="397">
        <f>'Operating Expenses 2020'!N39</f>
        <v>25380.563592095543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392"/>
      <c r="AD101" s="196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393"/>
      <c r="AO101" s="196"/>
      <c r="AP101" s="196"/>
      <c r="AQ101" s="196"/>
      <c r="AR101" s="196"/>
      <c r="AS101" s="196"/>
      <c r="AT101" s="196"/>
      <c r="AU101" s="196"/>
      <c r="AV101" s="196"/>
      <c r="AW101" s="196"/>
      <c r="AX101" s="196"/>
      <c r="AY101" s="196"/>
      <c r="AZ101" s="196"/>
      <c r="BA101" s="392"/>
      <c r="BB101" s="196"/>
      <c r="BC101" s="196"/>
      <c r="BD101" s="196"/>
      <c r="BE101" s="196"/>
      <c r="BF101" s="196"/>
      <c r="BG101" s="196"/>
      <c r="BH101" s="196"/>
      <c r="BI101" s="196"/>
      <c r="BJ101" s="196"/>
      <c r="BK101" s="196"/>
      <c r="BL101" s="393"/>
    </row>
    <row r="102" spans="1:64" x14ac:dyDescent="0.25">
      <c r="A102" s="619"/>
      <c r="B102" s="622"/>
      <c r="C102" s="480" t="s">
        <v>498</v>
      </c>
      <c r="D102" s="515" t="str">
        <f>D101</f>
        <v>Professional Fees</v>
      </c>
      <c r="E102" s="388">
        <v>10000</v>
      </c>
      <c r="F102" s="344">
        <v>15000</v>
      </c>
      <c r="G102" s="344"/>
      <c r="H102" s="344"/>
      <c r="I102" s="344"/>
      <c r="J102" s="344"/>
      <c r="K102" s="344"/>
      <c r="L102" s="344"/>
      <c r="M102" s="344"/>
      <c r="N102" s="344"/>
      <c r="O102" s="344"/>
      <c r="P102" s="345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399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352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399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352"/>
    </row>
    <row r="103" spans="1:64" x14ac:dyDescent="0.25">
      <c r="A103" s="619"/>
      <c r="B103" s="622"/>
      <c r="C103" s="479" t="s">
        <v>507</v>
      </c>
      <c r="D103" s="517" t="str">
        <f>D102</f>
        <v>Professional Fees</v>
      </c>
      <c r="E103" s="508">
        <f>E101-E102</f>
        <v>-3200</v>
      </c>
      <c r="F103" s="463">
        <f t="shared" ref="F103" si="81">F101-F102</f>
        <v>-8200</v>
      </c>
      <c r="G103" s="463">
        <f t="shared" ref="G103" si="82">G101-G102</f>
        <v>31800</v>
      </c>
      <c r="H103" s="463">
        <f t="shared" ref="H103" si="83">H101-H102</f>
        <v>0</v>
      </c>
      <c r="I103" s="463">
        <f t="shared" ref="I103" si="84">I101-I102</f>
        <v>0</v>
      </c>
      <c r="J103" s="463">
        <f t="shared" ref="J103" si="85">J101-J102</f>
        <v>23909.638999999999</v>
      </c>
      <c r="K103" s="463">
        <f t="shared" ref="K103" si="86">K101-K102</f>
        <v>24148.735389999998</v>
      </c>
      <c r="L103" s="463">
        <f t="shared" ref="L103" si="87">L101-L102</f>
        <v>24390.222743899998</v>
      </c>
      <c r="M103" s="463">
        <f t="shared" ref="M103" si="88">M101-M102</f>
        <v>24634.124971338999</v>
      </c>
      <c r="N103" s="463">
        <f t="shared" ref="N103" si="89">N101-N102</f>
        <v>24880.466221052389</v>
      </c>
      <c r="O103" s="463">
        <f t="shared" ref="O103" si="90">O101-O102</f>
        <v>25129.270883262914</v>
      </c>
      <c r="P103" s="509">
        <f t="shared" ref="P103" si="91">P101-P102</f>
        <v>25380.563592095543</v>
      </c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491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48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491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487"/>
    </row>
    <row r="104" spans="1:64" x14ac:dyDescent="0.25">
      <c r="A104" s="619"/>
      <c r="B104" s="622"/>
      <c r="C104" s="480" t="s">
        <v>497</v>
      </c>
      <c r="D104" s="515" t="str">
        <f>'Operating Expenses 2020'!A40</f>
        <v>Technology</v>
      </c>
      <c r="E104" s="398">
        <f>'Operating Expenses 2020'!C40</f>
        <v>1800</v>
      </c>
      <c r="F104" s="357">
        <f>'Operating Expenses 2020'!D40</f>
        <v>1836</v>
      </c>
      <c r="G104" s="357">
        <f>'Operating Expenses 2020'!E40</f>
        <v>1872.72</v>
      </c>
      <c r="H104" s="357">
        <f>'Operating Expenses 2020'!F40</f>
        <v>1910.1744000000001</v>
      </c>
      <c r="I104" s="357">
        <f>'Operating Expenses 2020'!G40</f>
        <v>1948.3778880000002</v>
      </c>
      <c r="J104" s="357">
        <f>'Operating Expenses 2020'!H40</f>
        <v>1987.3454457600003</v>
      </c>
      <c r="K104" s="357">
        <f>'Operating Expenses 2020'!I40</f>
        <v>2027.0923546752003</v>
      </c>
      <c r="L104" s="357">
        <f>'Operating Expenses 2020'!J40</f>
        <v>2067.6342017687043</v>
      </c>
      <c r="M104" s="357">
        <f>'Operating Expenses 2020'!K40</f>
        <v>2108.9868858040786</v>
      </c>
      <c r="N104" s="357">
        <f>'Operating Expenses 2020'!L40</f>
        <v>2151.1666235201601</v>
      </c>
      <c r="O104" s="357">
        <f>'Operating Expenses 2020'!M40</f>
        <v>2194.1899559905632</v>
      </c>
      <c r="P104" s="358">
        <f>'Operating Expenses 2020'!N40</f>
        <v>2238.0737551103743</v>
      </c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399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352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399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352"/>
    </row>
    <row r="105" spans="1:64" x14ac:dyDescent="0.25">
      <c r="A105" s="619"/>
      <c r="B105" s="622"/>
      <c r="C105" s="480" t="s">
        <v>498</v>
      </c>
      <c r="D105" s="515" t="str">
        <f>D104</f>
        <v>Technology</v>
      </c>
      <c r="E105" s="388">
        <v>2000</v>
      </c>
      <c r="F105" s="344">
        <v>2000</v>
      </c>
      <c r="G105" s="344"/>
      <c r="H105" s="344"/>
      <c r="I105" s="344"/>
      <c r="J105" s="344"/>
      <c r="K105" s="344"/>
      <c r="L105" s="344"/>
      <c r="M105" s="344"/>
      <c r="N105" s="344"/>
      <c r="O105" s="344"/>
      <c r="P105" s="345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399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352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399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352"/>
    </row>
    <row r="106" spans="1:64" x14ac:dyDescent="0.25">
      <c r="A106" s="619"/>
      <c r="B106" s="622"/>
      <c r="C106" s="416" t="s">
        <v>507</v>
      </c>
      <c r="D106" s="515" t="str">
        <f>D105</f>
        <v>Technology</v>
      </c>
      <c r="E106" s="506">
        <f>E104-E105</f>
        <v>-200</v>
      </c>
      <c r="F106" s="486">
        <f t="shared" ref="F106" si="92">F104-F105</f>
        <v>-164</v>
      </c>
      <c r="G106" s="486">
        <f t="shared" ref="G106" si="93">G104-G105</f>
        <v>1872.72</v>
      </c>
      <c r="H106" s="486">
        <f t="shared" ref="H106" si="94">H104-H105</f>
        <v>1910.1744000000001</v>
      </c>
      <c r="I106" s="486">
        <f t="shared" ref="I106" si="95">I104-I105</f>
        <v>1948.3778880000002</v>
      </c>
      <c r="J106" s="486">
        <f t="shared" ref="J106" si="96">J104-J105</f>
        <v>1987.3454457600003</v>
      </c>
      <c r="K106" s="486">
        <f t="shared" ref="K106" si="97">K104-K105</f>
        <v>2027.0923546752003</v>
      </c>
      <c r="L106" s="486">
        <f t="shared" ref="L106" si="98">L104-L105</f>
        <v>2067.6342017687043</v>
      </c>
      <c r="M106" s="486">
        <f t="shared" ref="M106" si="99">M104-M105</f>
        <v>2108.9868858040786</v>
      </c>
      <c r="N106" s="486">
        <f t="shared" ref="N106" si="100">N104-N105</f>
        <v>2151.1666235201601</v>
      </c>
      <c r="O106" s="486">
        <f t="shared" ref="O106" si="101">O104-O105</f>
        <v>2194.1899559905632</v>
      </c>
      <c r="P106" s="507">
        <f t="shared" ref="P106" si="102">P104-P105</f>
        <v>2238.0737551103743</v>
      </c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399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352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399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352"/>
    </row>
    <row r="107" spans="1:64" x14ac:dyDescent="0.25">
      <c r="A107" s="619"/>
      <c r="B107" s="622"/>
      <c r="C107" s="481" t="s">
        <v>497</v>
      </c>
      <c r="D107" s="516" t="str">
        <f>'Operating Expenses 2020'!A41</f>
        <v>Travel, Meals and Entertainment</v>
      </c>
      <c r="E107" s="396">
        <f>'Operating Expenses 2020'!C41</f>
        <v>500</v>
      </c>
      <c r="F107" s="374">
        <f>'Operating Expenses 2020'!D41</f>
        <v>500</v>
      </c>
      <c r="G107" s="374">
        <f>'Operating Expenses 2020'!E41</f>
        <v>500</v>
      </c>
      <c r="H107" s="374">
        <f>'Operating Expenses 2020'!F41</f>
        <v>5000</v>
      </c>
      <c r="I107" s="374">
        <f>'Operating Expenses 2020'!G41</f>
        <v>5050</v>
      </c>
      <c r="J107" s="374">
        <f>'Operating Expenses 2020'!H41</f>
        <v>5100.5</v>
      </c>
      <c r="K107" s="374">
        <f>'Operating Expenses 2020'!I41</f>
        <v>5151.5050000000001</v>
      </c>
      <c r="L107" s="374">
        <f>'Operating Expenses 2020'!J41</f>
        <v>5203.0200500000001</v>
      </c>
      <c r="M107" s="374">
        <f>'Operating Expenses 2020'!K41</f>
        <v>5255.0502505000004</v>
      </c>
      <c r="N107" s="374">
        <f>'Operating Expenses 2020'!L41</f>
        <v>5307.6007530050001</v>
      </c>
      <c r="O107" s="374">
        <f>'Operating Expenses 2020'!M41</f>
        <v>5360.6767605350506</v>
      </c>
      <c r="P107" s="397">
        <f>'Operating Expenses 2020'!N41</f>
        <v>5414.2835281404014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392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/>
      <c r="AN107" s="393"/>
      <c r="AO107" s="196"/>
      <c r="AP107" s="196"/>
      <c r="AQ107" s="196"/>
      <c r="AR107" s="196"/>
      <c r="AS107" s="196"/>
      <c r="AT107" s="196"/>
      <c r="AU107" s="196"/>
      <c r="AV107" s="196"/>
      <c r="AW107" s="196"/>
      <c r="AX107" s="196"/>
      <c r="AY107" s="196"/>
      <c r="AZ107" s="196"/>
      <c r="BA107" s="392"/>
      <c r="BB107" s="196"/>
      <c r="BC107" s="196"/>
      <c r="BD107" s="196"/>
      <c r="BE107" s="196"/>
      <c r="BF107" s="196"/>
      <c r="BG107" s="196"/>
      <c r="BH107" s="196"/>
      <c r="BI107" s="196"/>
      <c r="BJ107" s="196"/>
      <c r="BK107" s="196"/>
      <c r="BL107" s="393"/>
    </row>
    <row r="108" spans="1:64" x14ac:dyDescent="0.25">
      <c r="A108" s="619"/>
      <c r="B108" s="622"/>
      <c r="C108" s="480" t="s">
        <v>498</v>
      </c>
      <c r="D108" s="515" t="str">
        <f>D107</f>
        <v>Travel, Meals and Entertainment</v>
      </c>
      <c r="E108" s="388">
        <v>600</v>
      </c>
      <c r="F108" s="344">
        <v>500</v>
      </c>
      <c r="G108" s="344"/>
      <c r="H108" s="344"/>
      <c r="I108" s="344"/>
      <c r="J108" s="344"/>
      <c r="K108" s="344"/>
      <c r="L108" s="344"/>
      <c r="M108" s="344"/>
      <c r="N108" s="344"/>
      <c r="O108" s="344"/>
      <c r="P108" s="345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399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352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399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352"/>
    </row>
    <row r="109" spans="1:64" x14ac:dyDescent="0.25">
      <c r="A109" s="619"/>
      <c r="B109" s="622"/>
      <c r="C109" s="479" t="s">
        <v>507</v>
      </c>
      <c r="D109" s="517" t="str">
        <f>D108</f>
        <v>Travel, Meals and Entertainment</v>
      </c>
      <c r="E109" s="508">
        <f>E107-E108</f>
        <v>-100</v>
      </c>
      <c r="F109" s="463">
        <f t="shared" ref="F109" si="103">F107-F108</f>
        <v>0</v>
      </c>
      <c r="G109" s="463">
        <f t="shared" ref="G109" si="104">G107-G108</f>
        <v>500</v>
      </c>
      <c r="H109" s="463">
        <f t="shared" ref="H109" si="105">H107-H108</f>
        <v>5000</v>
      </c>
      <c r="I109" s="463">
        <f t="shared" ref="I109" si="106">I107-I108</f>
        <v>5050</v>
      </c>
      <c r="J109" s="463">
        <f t="shared" ref="J109" si="107">J107-J108</f>
        <v>5100.5</v>
      </c>
      <c r="K109" s="463">
        <f t="shared" ref="K109" si="108">K107-K108</f>
        <v>5151.5050000000001</v>
      </c>
      <c r="L109" s="463">
        <f t="shared" ref="L109" si="109">L107-L108</f>
        <v>5203.0200500000001</v>
      </c>
      <c r="M109" s="463">
        <f t="shared" ref="M109" si="110">M107-M108</f>
        <v>5255.0502505000004</v>
      </c>
      <c r="N109" s="463">
        <f t="shared" ref="N109" si="111">N107-N108</f>
        <v>5307.6007530050001</v>
      </c>
      <c r="O109" s="463">
        <f t="shared" ref="O109" si="112">O107-O108</f>
        <v>5360.6767605350506</v>
      </c>
      <c r="P109" s="509">
        <f t="shared" ref="P109" si="113">P107-P108</f>
        <v>5414.2835281404014</v>
      </c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491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48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491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487"/>
    </row>
    <row r="110" spans="1:64" x14ac:dyDescent="0.25">
      <c r="A110" s="619"/>
      <c r="B110" s="622"/>
      <c r="C110" s="480" t="s">
        <v>497</v>
      </c>
      <c r="D110" s="515" t="str">
        <f>'Operating Expenses 2020'!A42</f>
        <v>Utilities</v>
      </c>
      <c r="E110" s="398">
        <f>'Operating Expenses 2020'!C42</f>
        <v>0</v>
      </c>
      <c r="F110" s="357">
        <f>'Operating Expenses 2020'!D42</f>
        <v>0</v>
      </c>
      <c r="G110" s="357">
        <f>'Operating Expenses 2020'!E42</f>
        <v>0</v>
      </c>
      <c r="H110" s="357">
        <f>'Operating Expenses 2020'!F42</f>
        <v>1500</v>
      </c>
      <c r="I110" s="357">
        <f>'Operating Expenses 2020'!G42</f>
        <v>1515</v>
      </c>
      <c r="J110" s="357">
        <f>'Operating Expenses 2020'!H42</f>
        <v>1530.15</v>
      </c>
      <c r="K110" s="357">
        <f>'Operating Expenses 2020'!I42</f>
        <v>1545.4515000000001</v>
      </c>
      <c r="L110" s="357">
        <f>'Operating Expenses 2020'!J42</f>
        <v>1560.9060150000003</v>
      </c>
      <c r="M110" s="357">
        <f>'Operating Expenses 2020'!K42</f>
        <v>1576.5150751500003</v>
      </c>
      <c r="N110" s="357">
        <f>'Operating Expenses 2020'!L42</f>
        <v>1592.2802259015002</v>
      </c>
      <c r="O110" s="357">
        <f>'Operating Expenses 2020'!M42</f>
        <v>1608.2030281605153</v>
      </c>
      <c r="P110" s="358">
        <f>'Operating Expenses 2020'!N42</f>
        <v>1624.2850584421203</v>
      </c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399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352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399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352"/>
    </row>
    <row r="111" spans="1:64" x14ac:dyDescent="0.25">
      <c r="A111" s="619"/>
      <c r="B111" s="622"/>
      <c r="C111" s="480" t="s">
        <v>498</v>
      </c>
      <c r="D111" s="515" t="str">
        <f>D110</f>
        <v>Utilities</v>
      </c>
      <c r="E111" s="388">
        <v>0</v>
      </c>
      <c r="F111" s="344">
        <v>0</v>
      </c>
      <c r="G111" s="344">
        <v>0</v>
      </c>
      <c r="H111" s="344"/>
      <c r="I111" s="344"/>
      <c r="J111" s="344"/>
      <c r="K111" s="344"/>
      <c r="L111" s="344"/>
      <c r="M111" s="344"/>
      <c r="N111" s="344"/>
      <c r="O111" s="344"/>
      <c r="P111" s="345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399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352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399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352"/>
    </row>
    <row r="112" spans="1:64" x14ac:dyDescent="0.25">
      <c r="A112" s="619"/>
      <c r="B112" s="622"/>
      <c r="C112" s="416" t="s">
        <v>507</v>
      </c>
      <c r="D112" s="515" t="str">
        <f>D111</f>
        <v>Utilities</v>
      </c>
      <c r="E112" s="506">
        <f>E110-E111</f>
        <v>0</v>
      </c>
      <c r="F112" s="486">
        <f t="shared" ref="F112" si="114">F110-F111</f>
        <v>0</v>
      </c>
      <c r="G112" s="486">
        <f t="shared" ref="G112" si="115">G110-G111</f>
        <v>0</v>
      </c>
      <c r="H112" s="486">
        <f t="shared" ref="H112" si="116">H110-H111</f>
        <v>1500</v>
      </c>
      <c r="I112" s="486">
        <f t="shared" ref="I112" si="117">I110-I111</f>
        <v>1515</v>
      </c>
      <c r="J112" s="486">
        <f t="shared" ref="J112" si="118">J110-J111</f>
        <v>1530.15</v>
      </c>
      <c r="K112" s="486">
        <f t="shared" ref="K112" si="119">K110-K111</f>
        <v>1545.4515000000001</v>
      </c>
      <c r="L112" s="486">
        <f t="shared" ref="L112" si="120">L110-L111</f>
        <v>1560.9060150000003</v>
      </c>
      <c r="M112" s="486">
        <f t="shared" ref="M112" si="121">M110-M111</f>
        <v>1576.5150751500003</v>
      </c>
      <c r="N112" s="486">
        <f t="shared" ref="N112" si="122">N110-N111</f>
        <v>1592.2802259015002</v>
      </c>
      <c r="O112" s="486">
        <f t="shared" ref="O112" si="123">O110-O111</f>
        <v>1608.2030281605153</v>
      </c>
      <c r="P112" s="507">
        <f>P110-P111</f>
        <v>1624.2850584421203</v>
      </c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399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352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399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352"/>
    </row>
    <row r="113" spans="1:64" x14ac:dyDescent="0.25">
      <c r="A113" s="619"/>
      <c r="B113" s="622"/>
      <c r="C113" s="481" t="s">
        <v>497</v>
      </c>
      <c r="D113" s="516" t="str">
        <f>'Operating Expenses 2020'!A43</f>
        <v>Miscellaneous</v>
      </c>
      <c r="E113" s="396">
        <f>'Operating Expenses 2020'!C43</f>
        <v>1077.5</v>
      </c>
      <c r="F113" s="374">
        <f>'Operating Expenses 2020'!D43</f>
        <v>1090.05</v>
      </c>
      <c r="G113" s="374">
        <f>'Operating Expenses 2020'!E43</f>
        <v>1801.4390000000001</v>
      </c>
      <c r="H113" s="374">
        <f>'Operating Expenses 2020'!F43</f>
        <v>536.71777999999995</v>
      </c>
      <c r="I113" s="374">
        <f>'Operating Expenses 2020'!G43</f>
        <v>544.09213560000012</v>
      </c>
      <c r="J113" s="374">
        <f>'Operating Expenses 2020'!H43</f>
        <v>3247.0788783120006</v>
      </c>
      <c r="K113" s="374">
        <f>'Operating Expenses 2020'!I43</f>
        <v>5766.6716748782401</v>
      </c>
      <c r="L113" s="374">
        <f>'Operating Expenses 2020'!J43</f>
        <v>6171.5200168358051</v>
      </c>
      <c r="M113" s="374">
        <f>'Operating Expenses 2020'!K43</f>
        <v>6669.0779798052208</v>
      </c>
      <c r="N113" s="374">
        <f>'Operating Expenses 2020'!L43</f>
        <v>7286.4212204010955</v>
      </c>
      <c r="O113" s="374">
        <f>'Operating Expenses 2020'!M43</f>
        <v>8058.727583141851</v>
      </c>
      <c r="P113" s="397">
        <f>'Operating Expenses 2020'!N43</f>
        <v>9031.7071647594039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392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393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392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393"/>
    </row>
    <row r="114" spans="1:64" x14ac:dyDescent="0.25">
      <c r="A114" s="619"/>
      <c r="B114" s="622"/>
      <c r="C114" s="480" t="s">
        <v>498</v>
      </c>
      <c r="D114" s="515" t="str">
        <f>D113</f>
        <v>Miscellaneous</v>
      </c>
      <c r="E114" s="388">
        <v>2000</v>
      </c>
      <c r="F114" s="344">
        <v>2000</v>
      </c>
      <c r="G114" s="344">
        <v>2000</v>
      </c>
      <c r="H114" s="344"/>
      <c r="I114" s="344"/>
      <c r="J114" s="344"/>
      <c r="K114" s="344"/>
      <c r="L114" s="344"/>
      <c r="M114" s="344"/>
      <c r="N114" s="344"/>
      <c r="O114" s="344"/>
      <c r="P114" s="345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399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352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399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352"/>
    </row>
    <row r="115" spans="1:64" x14ac:dyDescent="0.25">
      <c r="A115" s="619"/>
      <c r="B115" s="622"/>
      <c r="C115" s="479" t="s">
        <v>507</v>
      </c>
      <c r="D115" s="517" t="str">
        <f>D114</f>
        <v>Miscellaneous</v>
      </c>
      <c r="E115" s="508">
        <f>E113-E114</f>
        <v>-922.5</v>
      </c>
      <c r="F115" s="463">
        <f t="shared" ref="F115" si="124">F113-F114</f>
        <v>-909.95</v>
      </c>
      <c r="G115" s="463">
        <f t="shared" ref="G115" si="125">G113-G114</f>
        <v>-198.56099999999992</v>
      </c>
      <c r="H115" s="463">
        <f t="shared" ref="H115" si="126">H113-H114</f>
        <v>536.71777999999995</v>
      </c>
      <c r="I115" s="463">
        <f t="shared" ref="I115" si="127">I113-I114</f>
        <v>544.09213560000012</v>
      </c>
      <c r="J115" s="463">
        <f t="shared" ref="J115" si="128">J113-J114</f>
        <v>3247.0788783120006</v>
      </c>
      <c r="K115" s="463">
        <f t="shared" ref="K115" si="129">K113-K114</f>
        <v>5766.6716748782401</v>
      </c>
      <c r="L115" s="463">
        <f t="shared" ref="L115" si="130">L113-L114</f>
        <v>6171.5200168358051</v>
      </c>
      <c r="M115" s="463">
        <f t="shared" ref="M115" si="131">M113-M114</f>
        <v>6669.0779798052208</v>
      </c>
      <c r="N115" s="463">
        <f t="shared" ref="N115" si="132">N113-N114</f>
        <v>7286.4212204010955</v>
      </c>
      <c r="O115" s="463">
        <f t="shared" ref="O115" si="133">O113-O114</f>
        <v>8058.727583141851</v>
      </c>
      <c r="P115" s="509">
        <f t="shared" ref="P115" si="134">P113-P114</f>
        <v>9031.7071647594039</v>
      </c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491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48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491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487"/>
    </row>
    <row r="116" spans="1:64" x14ac:dyDescent="0.25">
      <c r="A116" s="619"/>
      <c r="B116" s="622"/>
      <c r="C116" s="481" t="s">
        <v>497</v>
      </c>
      <c r="D116" s="516" t="s">
        <v>566</v>
      </c>
      <c r="E116" s="510">
        <f>'Operating Expenses 2020'!C44</f>
        <v>22627.5</v>
      </c>
      <c r="F116" s="291">
        <f>'Operating Expenses 2020'!D44</f>
        <v>22891.05</v>
      </c>
      <c r="G116" s="291">
        <f>'Operating Expenses 2020'!E44</f>
        <v>37830.218999999997</v>
      </c>
      <c r="H116" s="291">
        <f>'Operating Expenses 2020'!F44</f>
        <v>11271.073379999998</v>
      </c>
      <c r="I116" s="291">
        <f>'Operating Expenses 2020'!G44</f>
        <v>11425.934847600001</v>
      </c>
      <c r="J116" s="291">
        <f>'Operating Expenses 2020'!H44</f>
        <v>68188.656444552005</v>
      </c>
      <c r="K116" s="291">
        <f>'Operating Expenses 2020'!I44</f>
        <v>121100.10517244303</v>
      </c>
      <c r="L116" s="291">
        <f>'Operating Expenses 2020'!J44</f>
        <v>129601.92035355189</v>
      </c>
      <c r="M116" s="291">
        <f>'Operating Expenses 2020'!K44</f>
        <v>140050.63757590961</v>
      </c>
      <c r="N116" s="291">
        <f>'Operating Expenses 2020'!L44</f>
        <v>153014.84562842301</v>
      </c>
      <c r="O116" s="291">
        <f>'Operating Expenses 2020'!M44</f>
        <v>169233.27924597886</v>
      </c>
      <c r="P116" s="511">
        <f>'Operating Expenses 2020'!N44</f>
        <v>189665.85045994745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392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393"/>
      <c r="AO116" s="196"/>
      <c r="AP116" s="196"/>
      <c r="AQ116" s="196"/>
      <c r="AR116" s="196"/>
      <c r="AS116" s="196"/>
      <c r="AT116" s="196"/>
      <c r="AU116" s="196"/>
      <c r="AV116" s="196"/>
      <c r="AW116" s="196"/>
      <c r="AX116" s="196"/>
      <c r="AY116" s="196"/>
      <c r="AZ116" s="196"/>
      <c r="BA116" s="392"/>
      <c r="BB116" s="196"/>
      <c r="BC116" s="196"/>
      <c r="BD116" s="196"/>
      <c r="BE116" s="196"/>
      <c r="BF116" s="196"/>
      <c r="BG116" s="196"/>
      <c r="BH116" s="196"/>
      <c r="BI116" s="196"/>
      <c r="BJ116" s="196"/>
      <c r="BK116" s="196"/>
      <c r="BL116" s="393"/>
    </row>
    <row r="117" spans="1:64" x14ac:dyDescent="0.25">
      <c r="A117" s="619"/>
      <c r="B117" s="622"/>
      <c r="C117" s="480" t="s">
        <v>498</v>
      </c>
      <c r="D117" s="515" t="str">
        <f>D116</f>
        <v>Total operating expenses</v>
      </c>
      <c r="E117" s="412">
        <f>E114+E111+E108+E105+E102+E99+E96+E93+E90+E87+E84+E81</f>
        <v>27100</v>
      </c>
      <c r="F117" s="414">
        <f t="shared" ref="F117:P117" si="135">F114+F111+F108+F105+F102+F99+F96+F93+F90+F87+F84+F81</f>
        <v>31500</v>
      </c>
      <c r="G117" s="414">
        <f t="shared" si="135"/>
        <v>18500</v>
      </c>
      <c r="H117" s="414">
        <f t="shared" si="135"/>
        <v>0</v>
      </c>
      <c r="I117" s="414">
        <f t="shared" si="135"/>
        <v>0</v>
      </c>
      <c r="J117" s="414">
        <f t="shared" si="135"/>
        <v>0</v>
      </c>
      <c r="K117" s="414">
        <f t="shared" si="135"/>
        <v>0</v>
      </c>
      <c r="L117" s="414">
        <f t="shared" si="135"/>
        <v>0</v>
      </c>
      <c r="M117" s="414">
        <f t="shared" si="135"/>
        <v>0</v>
      </c>
      <c r="N117" s="414">
        <f>N114+N111+N108+N105+N102+N99+N96+N93+N90+N87+N84+N81</f>
        <v>0</v>
      </c>
      <c r="O117" s="414">
        <f t="shared" si="135"/>
        <v>0</v>
      </c>
      <c r="P117" s="415">
        <f t="shared" si="135"/>
        <v>0</v>
      </c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399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352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399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352"/>
    </row>
    <row r="118" spans="1:64" ht="17" thickBot="1" x14ac:dyDescent="0.3">
      <c r="A118" s="620"/>
      <c r="B118" s="623"/>
      <c r="C118" s="483" t="s">
        <v>507</v>
      </c>
      <c r="D118" s="518" t="str">
        <f>D117</f>
        <v>Total operating expenses</v>
      </c>
      <c r="E118" s="512">
        <f>E116-E117</f>
        <v>-4472.5</v>
      </c>
      <c r="F118" s="488">
        <f t="shared" ref="F118:P118" si="136">F116-F117</f>
        <v>-8608.9500000000007</v>
      </c>
      <c r="G118" s="488">
        <f t="shared" si="136"/>
        <v>19330.218999999997</v>
      </c>
      <c r="H118" s="488">
        <f t="shared" si="136"/>
        <v>11271.073379999998</v>
      </c>
      <c r="I118" s="488">
        <f t="shared" si="136"/>
        <v>11425.934847600001</v>
      </c>
      <c r="J118" s="488">
        <f t="shared" si="136"/>
        <v>68188.656444552005</v>
      </c>
      <c r="K118" s="488">
        <f t="shared" si="136"/>
        <v>121100.10517244303</v>
      </c>
      <c r="L118" s="488">
        <f t="shared" si="136"/>
        <v>129601.92035355189</v>
      </c>
      <c r="M118" s="488">
        <f t="shared" si="136"/>
        <v>140050.63757590961</v>
      </c>
      <c r="N118" s="488">
        <f t="shared" si="136"/>
        <v>153014.84562842301</v>
      </c>
      <c r="O118" s="488">
        <f t="shared" si="136"/>
        <v>169233.27924597886</v>
      </c>
      <c r="P118" s="513">
        <f t="shared" si="136"/>
        <v>189665.85045994745</v>
      </c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34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400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34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400"/>
    </row>
  </sheetData>
  <mergeCells count="15">
    <mergeCell ref="AO1:AZ1"/>
    <mergeCell ref="BA1:BL1"/>
    <mergeCell ref="A80:A118"/>
    <mergeCell ref="B80:B118"/>
    <mergeCell ref="A15:A54"/>
    <mergeCell ref="B15:B54"/>
    <mergeCell ref="A55:A79"/>
    <mergeCell ref="B55:B60"/>
    <mergeCell ref="B61:B67"/>
    <mergeCell ref="B68:B79"/>
    <mergeCell ref="A3:A14"/>
    <mergeCell ref="B3:B14"/>
    <mergeCell ref="E1:P1"/>
    <mergeCell ref="Q1:AB1"/>
    <mergeCell ref="AC1:AN1"/>
  </mergeCells>
  <conditionalFormatting sqref="G19:G54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:I67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2:P82">
    <cfRule type="cellIs" dxfId="30" priority="31" operator="lessThan">
      <formula>0</formula>
    </cfRule>
    <cfRule type="cellIs" dxfId="29" priority="32" operator="greaterThanOrEqual">
      <formula>0</formula>
    </cfRule>
  </conditionalFormatting>
  <conditionalFormatting sqref="E85:P85">
    <cfRule type="cellIs" dxfId="28" priority="29" operator="lessThan">
      <formula>0</formula>
    </cfRule>
    <cfRule type="cellIs" dxfId="27" priority="30" operator="greaterThanOrEqual">
      <formula>0</formula>
    </cfRule>
  </conditionalFormatting>
  <conditionalFormatting sqref="E88:P88">
    <cfRule type="cellIs" dxfId="26" priority="27" operator="lessThan">
      <formula>0</formula>
    </cfRule>
    <cfRule type="cellIs" dxfId="25" priority="28" operator="greaterThanOrEqual">
      <formula>0</formula>
    </cfRule>
  </conditionalFormatting>
  <conditionalFormatting sqref="E91:P91">
    <cfRule type="cellIs" dxfId="24" priority="25" operator="lessThan">
      <formula>0</formula>
    </cfRule>
    <cfRule type="cellIs" dxfId="23" priority="26" operator="greaterThanOrEqual">
      <formula>0</formula>
    </cfRule>
  </conditionalFormatting>
  <conditionalFormatting sqref="E94:P94">
    <cfRule type="cellIs" dxfId="22" priority="23" operator="lessThan">
      <formula>0</formula>
    </cfRule>
    <cfRule type="cellIs" dxfId="21" priority="24" operator="greaterThanOrEqual">
      <formula>0</formula>
    </cfRule>
  </conditionalFormatting>
  <conditionalFormatting sqref="E97:P97">
    <cfRule type="cellIs" dxfId="20" priority="21" operator="lessThan">
      <formula>0</formula>
    </cfRule>
    <cfRule type="cellIs" dxfId="19" priority="22" operator="greaterThanOrEqual">
      <formula>0</formula>
    </cfRule>
  </conditionalFormatting>
  <conditionalFormatting sqref="E100:P100">
    <cfRule type="cellIs" dxfId="18" priority="19" operator="lessThan">
      <formula>0</formula>
    </cfRule>
    <cfRule type="cellIs" dxfId="17" priority="20" operator="greaterThanOrEqual">
      <formula>0</formula>
    </cfRule>
  </conditionalFormatting>
  <conditionalFormatting sqref="E103:P103">
    <cfRule type="cellIs" dxfId="16" priority="17" operator="lessThan">
      <formula>0</formula>
    </cfRule>
    <cfRule type="cellIs" dxfId="15" priority="18" operator="greaterThanOrEqual">
      <formula>0</formula>
    </cfRule>
  </conditionalFormatting>
  <conditionalFormatting sqref="E106:P106">
    <cfRule type="cellIs" dxfId="14" priority="15" operator="lessThan">
      <formula>0</formula>
    </cfRule>
    <cfRule type="cellIs" dxfId="13" priority="16" operator="greaterThanOrEqual">
      <formula>0</formula>
    </cfRule>
  </conditionalFormatting>
  <conditionalFormatting sqref="E109:P109">
    <cfRule type="cellIs" dxfId="12" priority="13" operator="lessThan">
      <formula>0</formula>
    </cfRule>
    <cfRule type="cellIs" dxfId="11" priority="14" operator="greaterThanOrEqual">
      <formula>0</formula>
    </cfRule>
  </conditionalFormatting>
  <conditionalFormatting sqref="E112:O112">
    <cfRule type="cellIs" dxfId="10" priority="11" operator="lessThan">
      <formula>0</formula>
    </cfRule>
    <cfRule type="cellIs" dxfId="9" priority="12" operator="greaterThanOrEqual">
      <formula>0</formula>
    </cfRule>
  </conditionalFormatting>
  <conditionalFormatting sqref="P112">
    <cfRule type="cellIs" dxfId="8" priority="9" operator="lessThan">
      <formula>0</formula>
    </cfRule>
    <cfRule type="cellIs" dxfId="7" priority="10" operator="greaterThanOrEqual">
      <formula>0</formula>
    </cfRule>
  </conditionalFormatting>
  <conditionalFormatting sqref="E115:O115">
    <cfRule type="cellIs" dxfId="6" priority="7" operator="lessThan">
      <formula>0</formula>
    </cfRule>
    <cfRule type="cellIs" dxfId="5" priority="8" operator="greaterThanOrEqual">
      <formula>0</formula>
    </cfRule>
  </conditionalFormatting>
  <conditionalFormatting sqref="P115">
    <cfRule type="cellIs" dxfId="4" priority="5" operator="lessThan">
      <formula>0</formula>
    </cfRule>
    <cfRule type="cellIs" dxfId="3" priority="6" operator="greaterThanOrEqual">
      <formula>0</formula>
    </cfRule>
  </conditionalFormatting>
  <conditionalFormatting sqref="E118:P11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" priority="3" operator="lessThan">
      <formula>0</formula>
    </cfRule>
    <cfRule type="cellIs" dxfId="1" priority="4" operator="greaterThanOrEqual">
      <formula>0</formula>
    </cfRule>
  </conditionalFormatting>
  <conditionalFormatting sqref="G56:G60 G66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:BL11">
    <cfRule type="cellIs" dxfId="0" priority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M31"/>
  <sheetViews>
    <sheetView showGridLines="0" topLeftCell="A13" zoomScale="150" zoomScaleNormal="90" workbookViewId="0">
      <selection activeCell="F5" sqref="F5"/>
    </sheetView>
  </sheetViews>
  <sheetFormatPr baseColWidth="10" defaultColWidth="9.1640625" defaultRowHeight="16" x14ac:dyDescent="0.25"/>
  <cols>
    <col min="1" max="1" width="17.33203125" style="1" customWidth="1"/>
    <col min="2" max="6" width="14.1640625" style="1" customWidth="1"/>
    <col min="7" max="7" width="10.6640625" style="1" customWidth="1"/>
    <col min="8" max="8" width="24.1640625" customWidth="1"/>
    <col min="9" max="11" width="12.5" customWidth="1"/>
    <col min="12" max="12" width="14.33203125" customWidth="1"/>
    <col min="13" max="13" width="12.5" customWidth="1"/>
    <col min="14" max="16384" width="9.1640625" style="1"/>
  </cols>
  <sheetData>
    <row r="1" spans="1:13" s="4" customFormat="1" x14ac:dyDescent="0.25">
      <c r="A1" s="25" t="str">
        <f>"Payroll - "&amp;B3&amp;"-"&amp;F3</f>
        <v>Payroll - 2020-2024</v>
      </c>
      <c r="B1" s="3"/>
    </row>
    <row r="2" spans="1:13" x14ac:dyDescent="0.25">
      <c r="H2" s="1"/>
      <c r="I2" s="1"/>
      <c r="J2" s="1"/>
      <c r="K2" s="1"/>
      <c r="L2" s="1"/>
      <c r="M2" s="1"/>
    </row>
    <row r="3" spans="1:13" x14ac:dyDescent="0.25">
      <c r="A3" s="30" t="s">
        <v>32</v>
      </c>
      <c r="B3" s="30">
        <v>2020</v>
      </c>
      <c r="C3" s="30">
        <f>B3+1</f>
        <v>2021</v>
      </c>
      <c r="D3" s="30">
        <f t="shared" ref="D3:F3" si="0">C3+1</f>
        <v>2022</v>
      </c>
      <c r="E3" s="30">
        <f t="shared" si="0"/>
        <v>2023</v>
      </c>
      <c r="F3" s="30">
        <f t="shared" si="0"/>
        <v>2024</v>
      </c>
      <c r="H3" s="30" t="s">
        <v>35</v>
      </c>
      <c r="I3" s="30">
        <f>B3</f>
        <v>2020</v>
      </c>
      <c r="J3" s="30">
        <f>I3+1</f>
        <v>2021</v>
      </c>
      <c r="K3" s="30">
        <f t="shared" ref="K3:M3" si="1">J3+1</f>
        <v>2022</v>
      </c>
      <c r="L3" s="30">
        <f t="shared" si="1"/>
        <v>2023</v>
      </c>
      <c r="M3" s="30">
        <f t="shared" si="1"/>
        <v>2024</v>
      </c>
    </row>
    <row r="4" spans="1:13" x14ac:dyDescent="0.25">
      <c r="A4" s="1" t="s">
        <v>3</v>
      </c>
      <c r="B4" s="55"/>
      <c r="C4" s="55">
        <v>3.5</v>
      </c>
      <c r="D4" s="55">
        <v>0.5</v>
      </c>
      <c r="E4" s="55">
        <v>0.15</v>
      </c>
      <c r="F4" s="55">
        <v>0.2</v>
      </c>
      <c r="H4" s="1" t="s">
        <v>3</v>
      </c>
      <c r="I4" s="38">
        <f>'Payroll 2020'!$N16</f>
        <v>13.75</v>
      </c>
      <c r="J4" s="38">
        <f>I4*(1+C4)</f>
        <v>61.875</v>
      </c>
      <c r="K4" s="38">
        <f t="shared" ref="K4:M4" si="2">J4*(1+D4)</f>
        <v>92.8125</v>
      </c>
      <c r="L4" s="38">
        <f t="shared" si="2"/>
        <v>106.73437499999999</v>
      </c>
      <c r="M4" s="38">
        <f t="shared" si="2"/>
        <v>128.08124999999998</v>
      </c>
    </row>
    <row r="5" spans="1:13" x14ac:dyDescent="0.25">
      <c r="A5" s="1" t="s">
        <v>4</v>
      </c>
      <c r="B5" s="55"/>
      <c r="C5" s="55">
        <v>0.03</v>
      </c>
      <c r="D5" s="55">
        <v>0.03</v>
      </c>
      <c r="E5" s="55">
        <v>4.2000000000000003E-2</v>
      </c>
      <c r="F5" s="55">
        <v>4.2000000000000003E-2</v>
      </c>
      <c r="H5" s="1" t="s">
        <v>4</v>
      </c>
      <c r="I5" s="38">
        <f>'Payroll 2020'!$N17</f>
        <v>0</v>
      </c>
      <c r="J5" s="38">
        <f t="shared" ref="J5:M5" si="3">I5*(1+C5)</f>
        <v>0</v>
      </c>
      <c r="K5" s="38">
        <f t="shared" si="3"/>
        <v>0</v>
      </c>
      <c r="L5" s="38">
        <f t="shared" si="3"/>
        <v>0</v>
      </c>
      <c r="M5" s="38">
        <f t="shared" si="3"/>
        <v>0</v>
      </c>
    </row>
    <row r="6" spans="1:13" x14ac:dyDescent="0.25">
      <c r="A6" s="1" t="s">
        <v>5</v>
      </c>
      <c r="B6" s="55"/>
      <c r="C6" s="55">
        <f>C4/2</f>
        <v>1.75</v>
      </c>
      <c r="D6" s="55">
        <v>0.3</v>
      </c>
      <c r="E6" s="55">
        <v>0.3</v>
      </c>
      <c r="F6" s="55">
        <f t="shared" ref="F6" si="4">F4/2</f>
        <v>0.1</v>
      </c>
      <c r="H6" s="1" t="s">
        <v>5</v>
      </c>
      <c r="I6" s="38">
        <f>'Payroll 2020'!$N18</f>
        <v>3.3333333333333335</v>
      </c>
      <c r="J6" s="38">
        <f t="shared" ref="J6:M6" si="5">I6*(1+C6)</f>
        <v>9.1666666666666679</v>
      </c>
      <c r="K6" s="38">
        <f t="shared" si="5"/>
        <v>11.916666666666668</v>
      </c>
      <c r="L6" s="38">
        <f t="shared" si="5"/>
        <v>15.491666666666669</v>
      </c>
      <c r="M6" s="38">
        <f t="shared" si="5"/>
        <v>17.040833333333339</v>
      </c>
    </row>
    <row r="7" spans="1:13" x14ac:dyDescent="0.25">
      <c r="H7" s="2" t="s">
        <v>83</v>
      </c>
      <c r="I7" s="39">
        <f>SUM(I4:I6)</f>
        <v>17.083333333333332</v>
      </c>
      <c r="J7" s="39">
        <f t="shared" ref="J7:M7" si="6">SUM(J4:J6)</f>
        <v>71.041666666666671</v>
      </c>
      <c r="K7" s="39">
        <f t="shared" si="6"/>
        <v>104.72916666666667</v>
      </c>
      <c r="L7" s="39">
        <f t="shared" si="6"/>
        <v>122.22604166666666</v>
      </c>
      <c r="M7" s="39">
        <f t="shared" si="6"/>
        <v>145.12208333333331</v>
      </c>
    </row>
    <row r="8" spans="1:13" x14ac:dyDescent="0.25">
      <c r="A8" s="26" t="s">
        <v>33</v>
      </c>
      <c r="B8" s="23">
        <f>B3</f>
        <v>2020</v>
      </c>
      <c r="C8" s="23">
        <f>B8+1</f>
        <v>2021</v>
      </c>
      <c r="D8" s="23">
        <f t="shared" ref="D8:F8" si="7">C8+1</f>
        <v>2022</v>
      </c>
      <c r="E8" s="23">
        <f t="shared" si="7"/>
        <v>2023</v>
      </c>
      <c r="F8" s="23">
        <f t="shared" si="7"/>
        <v>2024</v>
      </c>
      <c r="M8" s="1"/>
    </row>
    <row r="9" spans="1:13" x14ac:dyDescent="0.25">
      <c r="A9" s="1" t="s">
        <v>3</v>
      </c>
      <c r="B9" s="114">
        <f>'Payroll 2020'!N22</f>
        <v>31.09585084033613</v>
      </c>
      <c r="C9" s="114">
        <f>B9</f>
        <v>31.09585084033613</v>
      </c>
      <c r="D9" s="114">
        <f t="shared" ref="D9:F9" si="8">C9</f>
        <v>31.09585084033613</v>
      </c>
      <c r="E9" s="114">
        <f t="shared" si="8"/>
        <v>31.09585084033613</v>
      </c>
      <c r="F9" s="114">
        <f t="shared" si="8"/>
        <v>31.09585084033613</v>
      </c>
      <c r="H9" s="77" t="s">
        <v>41</v>
      </c>
      <c r="I9" s="77"/>
      <c r="J9" s="77"/>
      <c r="K9" s="77"/>
      <c r="L9" s="77"/>
      <c r="M9" s="1"/>
    </row>
    <row r="10" spans="1:13" ht="16" customHeight="1" x14ac:dyDescent="0.25">
      <c r="A10" s="1" t="s">
        <v>4</v>
      </c>
      <c r="B10" s="114">
        <f>'Payroll 2020'!N23</f>
        <v>0</v>
      </c>
      <c r="C10" s="114">
        <f t="shared" ref="C10:F10" si="9">B10</f>
        <v>0</v>
      </c>
      <c r="D10" s="114">
        <f t="shared" si="9"/>
        <v>0</v>
      </c>
      <c r="E10" s="114">
        <f t="shared" si="9"/>
        <v>0</v>
      </c>
      <c r="F10" s="114">
        <f t="shared" si="9"/>
        <v>0</v>
      </c>
      <c r="H10" s="461" t="str">
        <f>A25</f>
        <v>URSSAF</v>
      </c>
      <c r="I10" s="462" t="str">
        <f>A26</f>
        <v>Impot à la source</v>
      </c>
      <c r="J10" s="462" t="str">
        <f>A27</f>
        <v>Employee Pension</v>
      </c>
      <c r="K10" s="577"/>
      <c r="L10" s="461" t="str">
        <f>A30</f>
        <v>Bonuses (of EBIT)</v>
      </c>
      <c r="M10" s="1"/>
    </row>
    <row r="11" spans="1:13" x14ac:dyDescent="0.25">
      <c r="A11" s="1" t="s">
        <v>5</v>
      </c>
      <c r="B11" s="114">
        <f>'Payroll 2020'!N24</f>
        <v>8.0916666666666668</v>
      </c>
      <c r="C11" s="114">
        <f t="shared" ref="C11:F11" si="10">B11</f>
        <v>8.0916666666666668</v>
      </c>
      <c r="D11" s="114">
        <f t="shared" si="10"/>
        <v>8.0916666666666668</v>
      </c>
      <c r="E11" s="114">
        <f t="shared" si="10"/>
        <v>8.0916666666666668</v>
      </c>
      <c r="F11" s="114">
        <f t="shared" si="10"/>
        <v>8.0916666666666668</v>
      </c>
      <c r="H11" s="461"/>
      <c r="I11" s="462"/>
      <c r="J11" s="462"/>
      <c r="K11" s="577"/>
      <c r="L11" s="461"/>
      <c r="M11" s="1"/>
    </row>
    <row r="12" spans="1:13" x14ac:dyDescent="0.25">
      <c r="A12" s="2" t="s">
        <v>150</v>
      </c>
      <c r="B12" s="224">
        <f>AVERAGE(B9:B11)</f>
        <v>13.062505835667599</v>
      </c>
      <c r="C12" s="224">
        <f t="shared" ref="C12:F12" si="11">AVERAGE(C9:C11)</f>
        <v>13.062505835667599</v>
      </c>
      <c r="D12" s="224">
        <f t="shared" si="11"/>
        <v>13.062505835667599</v>
      </c>
      <c r="E12" s="224">
        <f t="shared" si="11"/>
        <v>13.062505835667599</v>
      </c>
      <c r="F12" s="224">
        <f t="shared" si="11"/>
        <v>13.062505835667599</v>
      </c>
      <c r="H12" s="318">
        <v>0.2</v>
      </c>
      <c r="I12" s="318">
        <v>0.12</v>
      </c>
      <c r="J12" s="318">
        <v>0.2</v>
      </c>
      <c r="K12" s="318"/>
      <c r="L12" s="318">
        <v>0.1</v>
      </c>
      <c r="M12" s="1"/>
    </row>
    <row r="13" spans="1:13" x14ac:dyDescent="0.25">
      <c r="H13" s="1"/>
      <c r="I13" s="1"/>
      <c r="J13" s="1"/>
      <c r="K13" s="1"/>
      <c r="L13" s="1"/>
      <c r="M13" s="1"/>
    </row>
    <row r="14" spans="1:13" x14ac:dyDescent="0.25">
      <c r="A14" s="27" t="s">
        <v>38</v>
      </c>
      <c r="B14" s="27">
        <f>B8</f>
        <v>2020</v>
      </c>
      <c r="C14" s="27">
        <f>B14+1</f>
        <v>2021</v>
      </c>
      <c r="D14" s="27">
        <f t="shared" ref="D14:F14" si="12">C14+1</f>
        <v>2022</v>
      </c>
      <c r="E14" s="27">
        <f t="shared" si="12"/>
        <v>2023</v>
      </c>
      <c r="F14" s="27">
        <f t="shared" si="12"/>
        <v>2024</v>
      </c>
      <c r="H14" s="30" t="s">
        <v>492</v>
      </c>
      <c r="I14" s="30">
        <f>I3</f>
        <v>2020</v>
      </c>
      <c r="J14" s="30">
        <f>I14+1</f>
        <v>2021</v>
      </c>
      <c r="K14" s="30">
        <f t="shared" ref="K14" si="13">J14+1</f>
        <v>2022</v>
      </c>
      <c r="L14" s="30">
        <f t="shared" ref="L14" si="14">K14+1</f>
        <v>2023</v>
      </c>
      <c r="M14" s="30">
        <f t="shared" ref="M14" si="15">L14+1</f>
        <v>2024</v>
      </c>
    </row>
    <row r="15" spans="1:13" x14ac:dyDescent="0.25">
      <c r="A15" s="1" t="s">
        <v>39</v>
      </c>
      <c r="B15" s="34">
        <v>43101</v>
      </c>
      <c r="C15" s="34">
        <v>43466</v>
      </c>
      <c r="D15" s="34">
        <v>43831</v>
      </c>
      <c r="E15" s="34">
        <v>44197</v>
      </c>
      <c r="F15" s="34">
        <v>44562</v>
      </c>
      <c r="H15" t="s">
        <v>83</v>
      </c>
      <c r="I15" s="319">
        <f>TURNOVER!B12/'Payroll 2020-2024'!I7</f>
        <v>20769.816585365857</v>
      </c>
      <c r="J15" s="319">
        <f>TURNOVER!C12/'Payroll 2020-2024'!J7</f>
        <v>33135.230512741058</v>
      </c>
      <c r="K15" s="319">
        <f>TURNOVER!D12/'Payroll 2020-2024'!K7</f>
        <v>156380.40796381765</v>
      </c>
      <c r="L15" s="319">
        <f>TURNOVER!E12/'Payroll 2020-2024'!L7</f>
        <v>417855.26485482702</v>
      </c>
      <c r="M15" s="319">
        <f>TURNOVER!F12/'Payroll 2020-2024'!M7</f>
        <v>1192712.7270713979</v>
      </c>
    </row>
    <row r="16" spans="1:13" x14ac:dyDescent="0.25">
      <c r="A16" s="1" t="s">
        <v>40</v>
      </c>
      <c r="B16" s="34">
        <v>43465</v>
      </c>
      <c r="C16" s="34">
        <v>43830</v>
      </c>
      <c r="D16" s="34">
        <v>44196</v>
      </c>
      <c r="E16" s="34">
        <v>44561</v>
      </c>
      <c r="F16" s="34">
        <v>44926</v>
      </c>
    </row>
    <row r="17" spans="1:13" x14ac:dyDescent="0.25">
      <c r="A17" s="1" t="s">
        <v>38</v>
      </c>
      <c r="B17" s="1">
        <f>NETWORKDAYS(B15,B16)</f>
        <v>261</v>
      </c>
      <c r="C17" s="1">
        <f t="shared" ref="C17:F17" si="16">NETWORKDAYS(C15,C16)</f>
        <v>261</v>
      </c>
      <c r="D17" s="1">
        <f t="shared" si="16"/>
        <v>262</v>
      </c>
      <c r="E17" s="1">
        <f t="shared" si="16"/>
        <v>261</v>
      </c>
      <c r="F17" s="1">
        <f t="shared" si="16"/>
        <v>260</v>
      </c>
      <c r="H17" s="30" t="s">
        <v>493</v>
      </c>
      <c r="I17" s="30">
        <f>I14</f>
        <v>2020</v>
      </c>
      <c r="J17" s="30">
        <f>I17+1</f>
        <v>2021</v>
      </c>
      <c r="K17" s="30">
        <f t="shared" ref="K17" si="17">J17+1</f>
        <v>2022</v>
      </c>
      <c r="L17" s="30">
        <f t="shared" ref="L17" si="18">K17+1</f>
        <v>2023</v>
      </c>
      <c r="M17" s="30">
        <f t="shared" ref="M17" si="19">L17+1</f>
        <v>2024</v>
      </c>
    </row>
    <row r="18" spans="1:13" x14ac:dyDescent="0.25">
      <c r="H18" s="1" t="str">
        <f>'Payroll 2020'!A8</f>
        <v>Direction</v>
      </c>
      <c r="I18" s="195">
        <f>'Payroll 2020'!$D8/TURNOVER!B12</f>
        <v>0.76794365106363072</v>
      </c>
      <c r="J18" s="195">
        <f>('Payroll 2020'!$D8*(1+C4)/TURNOVER!C12)</f>
        <v>0.52088758515326861</v>
      </c>
      <c r="K18" s="195">
        <f>('Payroll 2020'!$D8*(1+D4)/TURNOVER!D12)</f>
        <v>2.4956053043549656E-2</v>
      </c>
      <c r="L18" s="195">
        <f>('Payroll 2020'!$D8*(1+E4)/TURNOVER!E12)</f>
        <v>6.1353994807132953E-3</v>
      </c>
      <c r="M18" s="195">
        <f>('Payroll 2020'!$D8*(1+F4)/TURNOVER!F12)</f>
        <v>1.8890633347687768E-3</v>
      </c>
    </row>
    <row r="19" spans="1:13" ht="17" thickBot="1" x14ac:dyDescent="0.3">
      <c r="A19" s="33" t="s">
        <v>36</v>
      </c>
      <c r="B19" s="64">
        <f>B14</f>
        <v>2020</v>
      </c>
      <c r="C19" s="64">
        <f>B19+1</f>
        <v>2021</v>
      </c>
      <c r="D19" s="64">
        <v>2020</v>
      </c>
      <c r="E19" s="64">
        <v>2021</v>
      </c>
      <c r="F19" s="64">
        <v>2022</v>
      </c>
      <c r="G19"/>
      <c r="H19" s="1" t="str">
        <f>'Payroll 2020'!A9</f>
        <v>Sales</v>
      </c>
      <c r="I19" s="195">
        <f>'Payroll 2020'!$D9/TURNOVER!B12</f>
        <v>0.47210722576692199</v>
      </c>
      <c r="J19" s="195">
        <f>('Payroll 2020'!$D9*(1+$C$4)/TURNOVER!C12)</f>
        <v>0.32022504831251586</v>
      </c>
      <c r="K19" s="195">
        <f>('Payroll 2020'!$D9*(1+$C$4)/TURNOVER!D12)</f>
        <v>4.6026552672832025E-2</v>
      </c>
      <c r="L19" s="195">
        <f>('Payroll 2020'!$D9*(1+$C$4)/TURNOVER!E12)</f>
        <v>1.4759403706246026E-2</v>
      </c>
      <c r="M19" s="195">
        <f>('Payroll 2020'!$D9*(1+$C$4)/TURNOVER!F12)</f>
        <v>4.3550092300414806E-3</v>
      </c>
    </row>
    <row r="20" spans="1:13" x14ac:dyDescent="0.25">
      <c r="A20" s="1" t="s">
        <v>3</v>
      </c>
      <c r="B20" s="301">
        <f>SUMIF('Payroll 2020'!$C$38:$C$571,'Payroll 2020'!A3,'Payroll 2020'!$G$38:$G$571)</f>
        <v>852528</v>
      </c>
      <c r="C20" s="301">
        <f>C9*J4*C$17*'Payroll 2020'!$C$3</f>
        <v>4017428.4493172267</v>
      </c>
      <c r="D20" s="301">
        <f>D9*K4*D$17*'Payroll 2020'!$C$3</f>
        <v>6049231.343224789</v>
      </c>
      <c r="E20" s="301">
        <f>E9*L4*E$17*'Payroll 2020'!$C$3</f>
        <v>6930064.0750722149</v>
      </c>
      <c r="F20" s="301">
        <f>F9*M4*F$17*'Payroll 2020'!$C$3</f>
        <v>8284214.5265231067</v>
      </c>
      <c r="G20" s="1" t="str">
        <f>IF(A20=$A$3,D20*$I$33,"")</f>
        <v/>
      </c>
      <c r="H20" s="1" t="str">
        <f>'Payroll 2020'!A10</f>
        <v>Product Development</v>
      </c>
      <c r="I20" s="195">
        <f>'Payroll 2020'!$D10/TURNOVER!B12</f>
        <v>1.2335799482382079</v>
      </c>
      <c r="J20" s="195">
        <f>'Payroll 2020'!$D10*(1+$C$4)/TURNOVER!C12</f>
        <v>0.83672347501190925</v>
      </c>
      <c r="K20" s="195">
        <f>'Payroll 2020'!$D10*(1+$C$4)/TURNOVER!D12</f>
        <v>0.12026384974621451</v>
      </c>
      <c r="L20" s="195">
        <f>'Payroll 2020'!$D10*(1+$C$4)/TURNOVER!E12</f>
        <v>3.8565189148294217E-2</v>
      </c>
      <c r="M20" s="195">
        <f>'Payroll 2020'!$D10*(1+$C$4)/TURNOVER!F12</f>
        <v>1.1379304885334996E-2</v>
      </c>
    </row>
    <row r="21" spans="1:13" x14ac:dyDescent="0.25">
      <c r="A21" s="1" t="s">
        <v>4</v>
      </c>
      <c r="B21" s="301">
        <f>SUMIF('Payroll 2020'!$C$38:$C$571,'Payroll 2020'!A4,'Payroll 2020'!$G$38:$G$571)</f>
        <v>0</v>
      </c>
      <c r="C21" s="301">
        <f t="shared" ref="C21:F21" si="20">C10*J5*C$17</f>
        <v>0</v>
      </c>
      <c r="D21" s="301">
        <f t="shared" si="20"/>
        <v>0</v>
      </c>
      <c r="E21" s="301">
        <f t="shared" si="20"/>
        <v>0</v>
      </c>
      <c r="F21" s="301">
        <f t="shared" si="20"/>
        <v>0</v>
      </c>
      <c r="G21" s="1" t="str">
        <f>IF(A21=$A$3,D21*$I$33,"")</f>
        <v/>
      </c>
      <c r="H21" s="1" t="str">
        <f>'Payroll 2020'!A11</f>
        <v>Marketing &amp; communication</v>
      </c>
      <c r="I21" s="195">
        <f>'Payroll 2020'!$D11/TURNOVER!B12</f>
        <v>7.0526357619701607E-2</v>
      </c>
      <c r="J21" s="195">
        <f>'Payroll 2020'!$D11*(1+$C$4)/TURNOVER!C12</f>
        <v>4.7837239176730009E-2</v>
      </c>
      <c r="K21" s="195">
        <f>'Payroll 2020'!$D11*(1+$C$4)/TURNOVER!D12</f>
        <v>6.8757369865140921E-3</v>
      </c>
      <c r="L21" s="195">
        <f>'Payroll 2020'!$D11*(1+$C$4)/TURNOVER!E12</f>
        <v>2.2048528961811724E-3</v>
      </c>
      <c r="M21" s="195">
        <f>'Payroll 2020'!$D11*(1+$C$4)/TURNOVER!F12</f>
        <v>6.5057877031232387E-4</v>
      </c>
    </row>
    <row r="22" spans="1:13" x14ac:dyDescent="0.25">
      <c r="A22" s="37" t="s">
        <v>5</v>
      </c>
      <c r="B22" s="302">
        <f>SUMIF('Payroll 2020'!$C$38:$C$571,'Payroll 2020'!A5,'Payroll 2020'!$G$38:$G$571)</f>
        <v>56500</v>
      </c>
      <c r="C22" s="302">
        <f>C11*J6*C$17*'Payroll 2020'!$C$5</f>
        <v>154874.50000000003</v>
      </c>
      <c r="D22" s="302">
        <f>D11*K6*D$17*'Payroll 2020'!$C$5</f>
        <v>202108.25555555557</v>
      </c>
      <c r="E22" s="302">
        <f>E11*L6*E$17*'Payroll 2020'!$C$5</f>
        <v>261737.90500000006</v>
      </c>
      <c r="F22" s="302">
        <f>F11*M6*F$17*'Payroll 2020'!$C$5</f>
        <v>286808.58555555565</v>
      </c>
      <c r="G22" s="1" t="str">
        <f>IF(A22=$A$3,D22*$I$33,"")</f>
        <v/>
      </c>
      <c r="H22" s="1" t="str">
        <f>'Payroll 2020'!A12</f>
        <v>UX UI Design</v>
      </c>
      <c r="I22" s="195">
        <f>'Payroll 2020'!$D12/TURNOVER!B12</f>
        <v>8.8879444289278686E-2</v>
      </c>
      <c r="J22" s="195">
        <f>'Payroll 2020'!$D12*(1+$C$4)/TURNOVER!C12</f>
        <v>6.0285932491902075E-2</v>
      </c>
      <c r="K22" s="195">
        <f>'Payroll 2020'!$D12*(1+$C$4)/TURNOVER!D12</f>
        <v>8.6650112534650096E-3</v>
      </c>
      <c r="L22" s="195">
        <f>'Payroll 2020'!$D12*(1+$C$4)/TURNOVER!E12</f>
        <v>2.7786221600850968E-3</v>
      </c>
      <c r="M22" s="195">
        <f>'Payroll 2020'!$D12*(1+$C$4)/TURNOVER!F12</f>
        <v>8.1987900018260255E-4</v>
      </c>
    </row>
    <row r="23" spans="1:13" x14ac:dyDescent="0.25">
      <c r="A23" s="2" t="s">
        <v>37</v>
      </c>
      <c r="B23" s="224">
        <f>SUM(B20:B22)</f>
        <v>909028</v>
      </c>
      <c r="C23" s="224">
        <f t="shared" ref="C23:F23" si="21">SUM(C20:C22)</f>
        <v>4172302.9493172267</v>
      </c>
      <c r="D23" s="224">
        <f t="shared" si="21"/>
        <v>6251339.5987803442</v>
      </c>
      <c r="E23" s="224">
        <f t="shared" si="21"/>
        <v>7191801.9800722152</v>
      </c>
      <c r="F23" s="224">
        <f t="shared" si="21"/>
        <v>8571023.112078663</v>
      </c>
    </row>
    <row r="24" spans="1:13" x14ac:dyDescent="0.25">
      <c r="B24" s="114"/>
      <c r="C24" s="114"/>
      <c r="D24" s="114"/>
      <c r="E24" s="114"/>
      <c r="F24" s="114"/>
    </row>
    <row r="25" spans="1:13" x14ac:dyDescent="0.25">
      <c r="A25" s="1" t="str">
        <f>'Payroll 2020'!H36</f>
        <v>URSSAF</v>
      </c>
      <c r="B25" s="114">
        <f>B23*$H$12</f>
        <v>181805.6</v>
      </c>
      <c r="C25" s="114">
        <f>C23*$H$12</f>
        <v>834460.58986344538</v>
      </c>
      <c r="D25" s="114">
        <f>D23*$H$12</f>
        <v>1250267.9197560688</v>
      </c>
      <c r="E25" s="114">
        <f>E23*$H$12</f>
        <v>1438360.3960144431</v>
      </c>
      <c r="F25" s="114">
        <f>F23*$H$12</f>
        <v>1714204.6224157326</v>
      </c>
    </row>
    <row r="26" spans="1:13" x14ac:dyDescent="0.25">
      <c r="A26" s="1" t="str">
        <f>'Payroll 2020'!I36</f>
        <v>Impot à la source</v>
      </c>
      <c r="B26" s="114">
        <f>B23*$I$12</f>
        <v>109083.36</v>
      </c>
      <c r="C26" s="114">
        <f>C23*$I$12</f>
        <v>500676.35391806718</v>
      </c>
      <c r="D26" s="114">
        <f>D23*$I$12</f>
        <v>750160.75185364124</v>
      </c>
      <c r="E26" s="114">
        <f>E23*$I$12</f>
        <v>863016.23760866583</v>
      </c>
      <c r="F26" s="114">
        <f>F23*$I$12</f>
        <v>1028522.7734494396</v>
      </c>
    </row>
    <row r="27" spans="1:13" x14ac:dyDescent="0.25">
      <c r="A27" s="1" t="str">
        <f>'Payroll 2020'!J36</f>
        <v>Employee Pension</v>
      </c>
      <c r="B27" s="114">
        <f>B20*$J$12</f>
        <v>170505.60000000001</v>
      </c>
      <c r="C27" s="114">
        <f>C20*$J$12</f>
        <v>803485.68986344535</v>
      </c>
      <c r="D27" s="114">
        <f>D20*$J$12</f>
        <v>1209846.2686449578</v>
      </c>
      <c r="E27" s="114">
        <f>E20*$J$12</f>
        <v>1386012.8150144431</v>
      </c>
      <c r="F27" s="114">
        <f>F20*$J$12</f>
        <v>1656842.9053046214</v>
      </c>
    </row>
    <row r="28" spans="1:13" x14ac:dyDescent="0.25">
      <c r="A28" s="2" t="s">
        <v>628</v>
      </c>
      <c r="B28" s="224">
        <f>B25+B26+B27</f>
        <v>461394.56000000006</v>
      </c>
      <c r="C28" s="224">
        <f t="shared" ref="C28:F28" si="22">C25+C26+C27</f>
        <v>2138622.633644958</v>
      </c>
      <c r="D28" s="224">
        <f t="shared" si="22"/>
        <v>3210274.9402546678</v>
      </c>
      <c r="E28" s="224">
        <f t="shared" si="22"/>
        <v>3687389.4486375526</v>
      </c>
      <c r="F28" s="224">
        <f t="shared" si="22"/>
        <v>4399570.3011697941</v>
      </c>
    </row>
    <row r="29" spans="1:13" x14ac:dyDescent="0.25">
      <c r="A29" s="2" t="s">
        <v>14</v>
      </c>
      <c r="B29" s="224">
        <f>B23-B28</f>
        <v>447633.43999999994</v>
      </c>
      <c r="C29" s="224">
        <f t="shared" ref="C29:F29" si="23">C23-C28</f>
        <v>2033680.3156722686</v>
      </c>
      <c r="D29" s="224">
        <f t="shared" si="23"/>
        <v>3041064.6585256765</v>
      </c>
      <c r="E29" s="224">
        <f t="shared" si="23"/>
        <v>3504412.5314346626</v>
      </c>
      <c r="F29" s="224">
        <f t="shared" si="23"/>
        <v>4171452.8109088689</v>
      </c>
    </row>
    <row r="30" spans="1:13" x14ac:dyDescent="0.25">
      <c r="A30" s="37" t="s">
        <v>564</v>
      </c>
      <c r="B30" s="225">
        <f>IF('Income Statement 2020-2024'!C23&gt;0,'Income Statement 2020-2024'!C23*$L$12,0)</f>
        <v>0</v>
      </c>
      <c r="C30" s="225">
        <f>IF('Income Statement 2020-2024'!D23&gt;0,'Income Statement 2020-2024'!D23*$L$12,0)</f>
        <v>0</v>
      </c>
      <c r="D30" s="225">
        <f>IF('Income Statement 2020-2024'!E23&gt;0,'Income Statement 2020-2024'!E23*$L$12,0)</f>
        <v>0</v>
      </c>
      <c r="E30" s="225">
        <f>IF('Income Statement 2020-2024'!F23&gt;0,'Income Statement 2020-2024'!F23*$L$12,0)</f>
        <v>2028023.4036952751</v>
      </c>
      <c r="F30" s="225">
        <f>IF('Income Statement 2020-2024'!G23&gt;0,'Income Statement 2020-2024'!G23*$L$12,0)</f>
        <v>11262143.368617956</v>
      </c>
    </row>
    <row r="31" spans="1:13" x14ac:dyDescent="0.25">
      <c r="A31" s="2" t="s">
        <v>20</v>
      </c>
      <c r="B31" s="224">
        <f>B29+B30</f>
        <v>447633.43999999994</v>
      </c>
      <c r="C31" s="224">
        <f t="shared" ref="C31:F31" si="24">C29+C30</f>
        <v>2033680.3156722686</v>
      </c>
      <c r="D31" s="224">
        <f t="shared" si="24"/>
        <v>3041064.6585256765</v>
      </c>
      <c r="E31" s="224">
        <f t="shared" si="24"/>
        <v>5532435.9351299377</v>
      </c>
      <c r="F31" s="224">
        <f t="shared" si="24"/>
        <v>15433596.179526825</v>
      </c>
    </row>
  </sheetData>
  <mergeCells count="1">
    <mergeCell ref="K10:K11"/>
  </mergeCells>
  <conditionalFormatting sqref="C20:F20">
    <cfRule type="notContainsBlanks" priority="2">
      <formula>LEN(TRIM(C20))&gt;0</formula>
    </cfRule>
  </conditionalFormatting>
  <conditionalFormatting sqref="I18:M2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BJ98"/>
  <sheetViews>
    <sheetView showGridLines="0" zoomScale="109" zoomScaleNormal="90" workbookViewId="0">
      <selection activeCell="G12" sqref="G12"/>
    </sheetView>
  </sheetViews>
  <sheetFormatPr baseColWidth="10" defaultColWidth="9.1640625" defaultRowHeight="16" outlineLevelRow="1" x14ac:dyDescent="0.25"/>
  <cols>
    <col min="1" max="1" width="24.6640625" style="1" customWidth="1"/>
    <col min="2" max="2" width="11.6640625" style="1" customWidth="1"/>
    <col min="3" max="3" width="11.83203125" style="1" customWidth="1"/>
    <col min="4" max="4" width="12" style="1" customWidth="1"/>
    <col min="5" max="5" width="12.83203125" style="1" customWidth="1"/>
    <col min="6" max="6" width="14.5" style="1" bestFit="1" customWidth="1"/>
    <col min="7" max="7" width="10.33203125" style="1" customWidth="1"/>
    <col min="8" max="8" width="14.33203125" style="1" customWidth="1"/>
    <col min="9" max="9" width="10.33203125" style="1" customWidth="1"/>
    <col min="10" max="10" width="12" style="1" customWidth="1"/>
    <col min="11" max="12" width="11.83203125" style="1" customWidth="1"/>
    <col min="13" max="13" width="12" style="1" customWidth="1"/>
    <col min="14" max="14" width="10.1640625" style="1" bestFit="1" customWidth="1"/>
    <col min="15" max="15" width="10.5" style="1" bestFit="1" customWidth="1"/>
    <col min="16" max="24" width="10.6640625" style="1" customWidth="1"/>
    <col min="25" max="62" width="11.83203125" style="1" customWidth="1"/>
    <col min="63" max="16384" width="9.1640625" style="1"/>
  </cols>
  <sheetData>
    <row r="1" spans="1:14" s="4" customFormat="1" x14ac:dyDescent="0.25">
      <c r="A1" s="25" t="s">
        <v>638</v>
      </c>
    </row>
    <row r="2" spans="1:14" ht="16" customHeight="1" x14ac:dyDescent="0.25">
      <c r="A2" s="575" t="s">
        <v>419</v>
      </c>
      <c r="B2" s="575"/>
      <c r="C2" s="29"/>
      <c r="D2" s="29"/>
      <c r="E2" s="29"/>
      <c r="F2" s="29"/>
      <c r="G2" s="209"/>
      <c r="H2" s="9" t="s">
        <v>113</v>
      </c>
      <c r="I2" s="9"/>
      <c r="J2" s="9"/>
      <c r="K2" s="9"/>
      <c r="L2" s="9"/>
      <c r="M2" s="9"/>
      <c r="N2" s="209"/>
    </row>
    <row r="3" spans="1:14" x14ac:dyDescent="0.25">
      <c r="A3" s="30" t="s">
        <v>54</v>
      </c>
      <c r="B3" s="78">
        <v>2020</v>
      </c>
      <c r="C3" s="78">
        <f>B3+1</f>
        <v>2021</v>
      </c>
      <c r="D3" s="78">
        <f t="shared" ref="D3:F3" si="0">C3+1</f>
        <v>2022</v>
      </c>
      <c r="E3" s="78">
        <f t="shared" si="0"/>
        <v>2023</v>
      </c>
      <c r="F3" s="78">
        <f t="shared" si="0"/>
        <v>2024</v>
      </c>
      <c r="H3" s="9" t="str">
        <f>A4</f>
        <v>BM1 : White label websites</v>
      </c>
      <c r="I3" s="81">
        <f>B25</f>
        <v>2020</v>
      </c>
      <c r="J3" s="81">
        <f>C25</f>
        <v>2021</v>
      </c>
      <c r="K3" s="81">
        <f>D25</f>
        <v>2022</v>
      </c>
      <c r="L3" s="81">
        <f>E25</f>
        <v>2023</v>
      </c>
      <c r="M3" s="81">
        <f>F25</f>
        <v>2024</v>
      </c>
    </row>
    <row r="4" spans="1:14" outlineLevel="1" x14ac:dyDescent="0.25">
      <c r="A4" s="1" t="str">
        <f>'White label websites (WLW)'!A1</f>
        <v>BM1 : White label websites</v>
      </c>
      <c r="B4" s="140">
        <f>I4</f>
        <v>318412.5</v>
      </c>
      <c r="C4" s="140">
        <f>J4</f>
        <v>1150785.5530491469</v>
      </c>
      <c r="D4" s="140">
        <f>K4</f>
        <v>1640745.0306851231</v>
      </c>
      <c r="E4" s="140">
        <f>L4</f>
        <v>2339310.090038083</v>
      </c>
      <c r="F4" s="140">
        <f>M4</f>
        <v>3335296.8285809122</v>
      </c>
      <c r="H4" s="2" t="s">
        <v>54</v>
      </c>
      <c r="I4" s="139">
        <f>SUM(C44:N44)</f>
        <v>318412.5</v>
      </c>
      <c r="J4" s="139">
        <f>SUM(O44:Z44)</f>
        <v>1150785.5530491469</v>
      </c>
      <c r="K4" s="139">
        <f>SUM(AA44:AL44)</f>
        <v>1640745.0306851231</v>
      </c>
      <c r="L4" s="139">
        <f>SUM(AM44:AX44)</f>
        <v>2339310.090038083</v>
      </c>
      <c r="M4" s="139">
        <f>SUM(AY44:BJ44)</f>
        <v>3335296.8285809122</v>
      </c>
    </row>
    <row r="5" spans="1:14" outlineLevel="1" x14ac:dyDescent="0.25">
      <c r="A5" s="1" t="str">
        <f>'WLW Side revenues'!A1</f>
        <v>BM2 : WLW Side revenues</v>
      </c>
      <c r="B5" s="140">
        <f>SUM(C45:N45)</f>
        <v>36405.199999999997</v>
      </c>
      <c r="C5" s="140">
        <f>SUM(O45:Z45)</f>
        <v>773816.50399999996</v>
      </c>
      <c r="D5" s="140">
        <f>SUM(AA45:AL45)</f>
        <v>1742677.132</v>
      </c>
      <c r="E5" s="140">
        <f>SUM(AM45:AX45)</f>
        <v>2734833.7814835999</v>
      </c>
      <c r="F5" s="140">
        <f>SUM(AY45:BJ45)</f>
        <v>3731556.124841122</v>
      </c>
      <c r="H5" s="37" t="s">
        <v>112</v>
      </c>
      <c r="I5" s="143">
        <f>SUM(C55:N55)</f>
        <v>219709.40000000002</v>
      </c>
      <c r="J5" s="143">
        <f>SUM(O55:Z55)</f>
        <v>739068.96624809899</v>
      </c>
      <c r="K5" s="143">
        <f>SUM(AA55:AL55)</f>
        <v>937318.1520599745</v>
      </c>
      <c r="L5" s="143">
        <f>SUM(AM55:AX55)</f>
        <v>1188746.0552445911</v>
      </c>
      <c r="M5" s="143">
        <f>SUM(AY55:BJ55)</f>
        <v>1507617.430382547</v>
      </c>
    </row>
    <row r="6" spans="1:14" outlineLevel="1" x14ac:dyDescent="0.25">
      <c r="A6" s="1" t="str">
        <f>Advertising!A1</f>
        <v>BM3 : Advertising</v>
      </c>
      <c r="B6" s="140">
        <f>I14</f>
        <v>0</v>
      </c>
      <c r="C6" s="140">
        <f>J14</f>
        <v>173775.39743450109</v>
      </c>
      <c r="D6" s="140">
        <f>K14</f>
        <v>2246196.5932566682</v>
      </c>
      <c r="E6" s="140">
        <f>L14</f>
        <v>5405206.1955856783</v>
      </c>
      <c r="F6" s="140">
        <f>M14</f>
        <v>10256551.028149812</v>
      </c>
      <c r="H6" s="2" t="s">
        <v>56</v>
      </c>
      <c r="I6" s="139">
        <f>I4-I5</f>
        <v>98703.099999999977</v>
      </c>
      <c r="J6" s="139">
        <f>J4-J5</f>
        <v>411716.5868010479</v>
      </c>
      <c r="K6" s="139">
        <f>K4-K5</f>
        <v>703426.87862514856</v>
      </c>
      <c r="L6" s="139">
        <f>L4-L5</f>
        <v>1150564.0347934919</v>
      </c>
      <c r="M6" s="139">
        <f>M4-M5</f>
        <v>1827679.3981983652</v>
      </c>
    </row>
    <row r="7" spans="1:14" outlineLevel="1" x14ac:dyDescent="0.25">
      <c r="A7" s="1" t="str">
        <f>'Sponsoring marketplace'!A1</f>
        <v>BM4 : Sponsoring marketplace</v>
      </c>
      <c r="B7" s="140">
        <f>I19</f>
        <v>0</v>
      </c>
      <c r="C7" s="140">
        <f>J19</f>
        <v>213245.84762566478</v>
      </c>
      <c r="D7" s="140">
        <f>K19</f>
        <v>5202636.4031581935</v>
      </c>
      <c r="E7" s="140">
        <f>L19</f>
        <v>29842318.366343688</v>
      </c>
      <c r="F7" s="140">
        <f>M19</f>
        <v>139694550.40094107</v>
      </c>
    </row>
    <row r="8" spans="1:14" outlineLevel="1" x14ac:dyDescent="0.25">
      <c r="A8" s="1" t="str">
        <f>'Digital goods marketplace'!A1</f>
        <v>BM5 : Digital goods marketplace</v>
      </c>
      <c r="B8" s="140"/>
      <c r="C8" s="140">
        <f>J24</f>
        <v>0</v>
      </c>
      <c r="D8" s="140">
        <f>K24</f>
        <v>1170722.7527757313</v>
      </c>
      <c r="E8" s="140">
        <f>L24</f>
        <v>2803183.4924688237</v>
      </c>
      <c r="F8" s="140">
        <f>M24</f>
        <v>3555114.462976764</v>
      </c>
      <c r="H8" s="9" t="str">
        <f>A5</f>
        <v>BM2 : WLW Side revenues</v>
      </c>
      <c r="I8" s="81">
        <f>I3</f>
        <v>2020</v>
      </c>
      <c r="J8" s="81">
        <f t="shared" ref="J8:M8" si="1">J3</f>
        <v>2021</v>
      </c>
      <c r="K8" s="81">
        <f t="shared" si="1"/>
        <v>2022</v>
      </c>
      <c r="L8" s="81">
        <f t="shared" si="1"/>
        <v>2023</v>
      </c>
      <c r="M8" s="81">
        <f t="shared" si="1"/>
        <v>2024</v>
      </c>
    </row>
    <row r="9" spans="1:14" outlineLevel="1" x14ac:dyDescent="0.25">
      <c r="A9" s="53" t="str">
        <f>H28</f>
        <v>BM6 : Media rights marketplace</v>
      </c>
      <c r="B9" s="142"/>
      <c r="C9" s="142">
        <f>J29</f>
        <v>0</v>
      </c>
      <c r="D9" s="142">
        <f>K29</f>
        <v>298074.81647035124</v>
      </c>
      <c r="E9" s="142">
        <f>L29</f>
        <v>1993664.427943941</v>
      </c>
      <c r="F9" s="142">
        <f>M29</f>
        <v>3743689.8913247688</v>
      </c>
      <c r="H9" s="2" t="s">
        <v>54</v>
      </c>
      <c r="I9" s="139">
        <f>B5</f>
        <v>36405.199999999997</v>
      </c>
      <c r="J9" s="139">
        <f t="shared" ref="J9:M9" si="2">C5</f>
        <v>773816.50399999996</v>
      </c>
      <c r="K9" s="139">
        <f t="shared" si="2"/>
        <v>1742677.132</v>
      </c>
      <c r="L9" s="139">
        <f t="shared" si="2"/>
        <v>2734833.7814835999</v>
      </c>
      <c r="M9" s="139">
        <f t="shared" si="2"/>
        <v>3731556.124841122</v>
      </c>
    </row>
    <row r="10" spans="1:14" outlineLevel="1" x14ac:dyDescent="0.25">
      <c r="A10" s="53" t="str">
        <f>H33</f>
        <v>BM7 : Titrisation</v>
      </c>
      <c r="B10" s="142">
        <f>I34</f>
        <v>0</v>
      </c>
      <c r="C10" s="142">
        <f>J34</f>
        <v>0</v>
      </c>
      <c r="D10" s="142">
        <f>K34</f>
        <v>3868556.3190871957</v>
      </c>
      <c r="E10" s="142">
        <f>L34</f>
        <v>5301545.9348671651</v>
      </c>
      <c r="F10" s="142">
        <f>M34</f>
        <v>6723642.1303917021</v>
      </c>
      <c r="H10" s="37" t="s">
        <v>112</v>
      </c>
      <c r="I10" s="143">
        <f>B16</f>
        <v>16642.599999999999</v>
      </c>
      <c r="J10" s="143">
        <f t="shared" ref="J10:M10" si="3">C16</f>
        <v>370348.25199999998</v>
      </c>
      <c r="K10" s="143">
        <f t="shared" si="3"/>
        <v>834258.56599999999</v>
      </c>
      <c r="L10" s="143">
        <f t="shared" si="3"/>
        <v>1309696.8907418</v>
      </c>
      <c r="M10" s="143">
        <f t="shared" si="3"/>
        <v>1786698.0624205607</v>
      </c>
    </row>
    <row r="11" spans="1:14" outlineLevel="1" x14ac:dyDescent="0.25">
      <c r="A11" s="37" t="str">
        <f>H38</f>
        <v>BM8 : Cash to digital</v>
      </c>
      <c r="B11" s="143">
        <f>SUM(C51:N51)</f>
        <v>0</v>
      </c>
      <c r="C11" s="143">
        <f>SUM(O51:Z51)</f>
        <v>42358.698900000003</v>
      </c>
      <c r="D11" s="143">
        <f>SUM(AA51:AL51)</f>
        <v>207980.76161072345</v>
      </c>
      <c r="E11" s="143">
        <f>SUM(AM51:AX51)</f>
        <v>652732.72405114037</v>
      </c>
      <c r="F11" s="143">
        <f>SUM(AY51:BJ51)</f>
        <v>2048554.9035764972</v>
      </c>
      <c r="H11" s="2" t="s">
        <v>56</v>
      </c>
      <c r="I11" s="139">
        <f>I9-I10</f>
        <v>19762.599999999999</v>
      </c>
      <c r="J11" s="139">
        <f>J9-J10</f>
        <v>403468.25199999998</v>
      </c>
      <c r="K11" s="139">
        <f>K9-K10</f>
        <v>908418.56599999999</v>
      </c>
      <c r="L11" s="139">
        <f>L9-L10</f>
        <v>1425136.8907418</v>
      </c>
      <c r="M11" s="139">
        <f>M9-M10</f>
        <v>1944858.0624205612</v>
      </c>
    </row>
    <row r="12" spans="1:14" outlineLevel="1" x14ac:dyDescent="0.25">
      <c r="A12" s="2" t="s">
        <v>83</v>
      </c>
      <c r="B12" s="139">
        <f>SUM(B4:B11)</f>
        <v>354817.7</v>
      </c>
      <c r="C12" s="139">
        <f t="shared" ref="C12:F12" si="4">SUM(C4:C11)</f>
        <v>2353982.0010093129</v>
      </c>
      <c r="D12" s="139">
        <f t="shared" si="4"/>
        <v>16377589.809043987</v>
      </c>
      <c r="E12" s="139">
        <f t="shared" si="4"/>
        <v>51072795.012782119</v>
      </c>
      <c r="F12" s="139">
        <f t="shared" si="4"/>
        <v>173088955.77078265</v>
      </c>
    </row>
    <row r="13" spans="1:14" outlineLevel="1" x14ac:dyDescent="0.25">
      <c r="A13" s="2"/>
      <c r="B13" s="139"/>
      <c r="C13" s="139"/>
      <c r="D13" s="139"/>
      <c r="E13" s="139"/>
      <c r="F13" s="139"/>
      <c r="H13" s="9" t="str">
        <f>A6</f>
        <v>BM3 : Advertising</v>
      </c>
      <c r="I13" s="81">
        <f>I3</f>
        <v>2020</v>
      </c>
      <c r="J13" s="81">
        <f>J3</f>
        <v>2021</v>
      </c>
      <c r="K13" s="81">
        <f>K3</f>
        <v>2022</v>
      </c>
      <c r="L13" s="81">
        <f>L3</f>
        <v>2023</v>
      </c>
      <c r="M13" s="81">
        <f>M3</f>
        <v>2024</v>
      </c>
    </row>
    <row r="14" spans="1:14" outlineLevel="1" x14ac:dyDescent="0.25">
      <c r="A14" s="23" t="s">
        <v>55</v>
      </c>
      <c r="B14" s="79">
        <f>B3</f>
        <v>2020</v>
      </c>
      <c r="C14" s="79">
        <f>C3</f>
        <v>2021</v>
      </c>
      <c r="D14" s="79">
        <f>D3</f>
        <v>2022</v>
      </c>
      <c r="E14" s="79">
        <f>E3</f>
        <v>2023</v>
      </c>
      <c r="F14" s="79">
        <f>F3</f>
        <v>2024</v>
      </c>
      <c r="H14" s="2" t="s">
        <v>54</v>
      </c>
      <c r="I14" s="139">
        <f>SUM(C46:N46)</f>
        <v>0</v>
      </c>
      <c r="J14" s="139">
        <f>SUM(O46:Z46)</f>
        <v>173775.39743450109</v>
      </c>
      <c r="K14" s="139">
        <f>SUM(AA46:AL46)</f>
        <v>2246196.5932566682</v>
      </c>
      <c r="L14" s="139">
        <f>SUM(AM46:AX46)</f>
        <v>5405206.1955856783</v>
      </c>
      <c r="M14" s="139">
        <f>SUM(AY46:BJ46)</f>
        <v>10256551.028149812</v>
      </c>
    </row>
    <row r="15" spans="1:14" outlineLevel="1" x14ac:dyDescent="0.25">
      <c r="A15" s="1" t="str">
        <f t="shared" ref="A15:A20" si="5">A4</f>
        <v>BM1 : White label websites</v>
      </c>
      <c r="B15" s="140">
        <f>I5</f>
        <v>219709.40000000002</v>
      </c>
      <c r="C15" s="140">
        <f>J5</f>
        <v>739068.96624809899</v>
      </c>
      <c r="D15" s="140">
        <f>K5</f>
        <v>937318.1520599745</v>
      </c>
      <c r="E15" s="140">
        <f>L5</f>
        <v>1188746.0552445911</v>
      </c>
      <c r="F15" s="140">
        <f>M5</f>
        <v>1507617.430382547</v>
      </c>
      <c r="H15" s="37" t="s">
        <v>112</v>
      </c>
      <c r="I15" s="143">
        <f>SUM(C57:N57)</f>
        <v>0</v>
      </c>
      <c r="J15" s="143">
        <f>SUM(O57:Z57)</f>
        <v>160652.83910635381</v>
      </c>
      <c r="K15" s="143">
        <f>SUM(AA57:AL57)</f>
        <v>134690.82799698325</v>
      </c>
      <c r="L15" s="143">
        <f>SUM(AM57:AX57)</f>
        <v>137564.62090700903</v>
      </c>
      <c r="M15" s="143">
        <f>SUM(AY57:BJ57)</f>
        <v>141000.57993125316</v>
      </c>
    </row>
    <row r="16" spans="1:14" outlineLevel="1" x14ac:dyDescent="0.25">
      <c r="A16" s="1" t="str">
        <f t="shared" si="5"/>
        <v>BM2 : WLW Side revenues</v>
      </c>
      <c r="B16" s="140">
        <f>SUM(C56:N56)</f>
        <v>16642.599999999999</v>
      </c>
      <c r="C16" s="140">
        <f>SUM(O56:Z56)</f>
        <v>370348.25199999998</v>
      </c>
      <c r="D16" s="140">
        <f>SUM(AA56:AL56)</f>
        <v>834258.56599999999</v>
      </c>
      <c r="E16" s="140">
        <f>SUM(AM56:AX56)</f>
        <v>1309696.8907418</v>
      </c>
      <c r="F16" s="140">
        <f>SUM(AY56:BJ56)</f>
        <v>1786698.0624205607</v>
      </c>
      <c r="H16" s="2" t="s">
        <v>56</v>
      </c>
      <c r="I16" s="139">
        <f>I14-I15</f>
        <v>0</v>
      </c>
      <c r="J16" s="139">
        <f>J14-J15</f>
        <v>13122.558328147279</v>
      </c>
      <c r="K16" s="139">
        <f>K14-K15</f>
        <v>2111505.765259685</v>
      </c>
      <c r="L16" s="139">
        <f>L14-L15</f>
        <v>5267641.5746786697</v>
      </c>
      <c r="M16" s="139">
        <f>M14-M15</f>
        <v>10115550.448218558</v>
      </c>
    </row>
    <row r="17" spans="1:13" outlineLevel="1" x14ac:dyDescent="0.25">
      <c r="A17" s="1" t="str">
        <f t="shared" si="5"/>
        <v>BM3 : Advertising</v>
      </c>
      <c r="B17" s="140">
        <f>I15</f>
        <v>0</v>
      </c>
      <c r="C17" s="140">
        <f>J15</f>
        <v>160652.83910635381</v>
      </c>
      <c r="D17" s="140">
        <f>K15</f>
        <v>134690.82799698325</v>
      </c>
      <c r="E17" s="140">
        <f>L15</f>
        <v>137564.62090700903</v>
      </c>
      <c r="F17" s="140">
        <f>M15</f>
        <v>141000.57993125316</v>
      </c>
    </row>
    <row r="18" spans="1:13" outlineLevel="1" x14ac:dyDescent="0.25">
      <c r="A18" s="1" t="str">
        <f t="shared" si="5"/>
        <v>BM4 : Sponsoring marketplace</v>
      </c>
      <c r="B18" s="140">
        <f>I20</f>
        <v>0</v>
      </c>
      <c r="C18" s="140">
        <f>J20</f>
        <v>242880.47481265626</v>
      </c>
      <c r="D18" s="140">
        <f>K20</f>
        <v>1339714.8669679945</v>
      </c>
      <c r="E18" s="140">
        <f>L20</f>
        <v>6763405.5521695344</v>
      </c>
      <c r="F18" s="140">
        <f>M20</f>
        <v>30934436.410666715</v>
      </c>
      <c r="H18" s="9" t="str">
        <f>A7</f>
        <v>BM4 : Sponsoring marketplace</v>
      </c>
      <c r="I18" s="81">
        <f>I13</f>
        <v>2020</v>
      </c>
      <c r="J18" s="81">
        <f>J13</f>
        <v>2021</v>
      </c>
      <c r="K18" s="81">
        <f>K13</f>
        <v>2022</v>
      </c>
      <c r="L18" s="81">
        <f>L13</f>
        <v>2023</v>
      </c>
      <c r="M18" s="81">
        <f>M13</f>
        <v>2024</v>
      </c>
    </row>
    <row r="19" spans="1:13" outlineLevel="1" x14ac:dyDescent="0.25">
      <c r="A19" s="1" t="str">
        <f t="shared" si="5"/>
        <v>BM5 : Digital goods marketplace</v>
      </c>
      <c r="B19" s="140"/>
      <c r="C19" s="140">
        <f>J25</f>
        <v>0</v>
      </c>
      <c r="D19" s="140">
        <f>K25</f>
        <v>215924.2317255346</v>
      </c>
      <c r="E19" s="140">
        <f>L25</f>
        <v>206333.38639576061</v>
      </c>
      <c r="F19" s="140">
        <f>M25</f>
        <v>227293.31240738201</v>
      </c>
      <c r="H19" s="2" t="s">
        <v>54</v>
      </c>
      <c r="I19" s="224">
        <f>SUM(C47:N47)</f>
        <v>0</v>
      </c>
      <c r="J19" s="224">
        <f>SUM(O47:Z47)</f>
        <v>213245.84762566478</v>
      </c>
      <c r="K19" s="224">
        <f>SUM(AA47:AL47)</f>
        <v>5202636.4031581935</v>
      </c>
      <c r="L19" s="224">
        <f>SUM(AM47:AX47)</f>
        <v>29842318.366343688</v>
      </c>
      <c r="M19" s="224">
        <f>SUM(AY47:BJ47)</f>
        <v>139694550.40094107</v>
      </c>
    </row>
    <row r="20" spans="1:13" outlineLevel="1" x14ac:dyDescent="0.25">
      <c r="A20" s="1" t="str">
        <f t="shared" si="5"/>
        <v>BM6 : Media rights marketplace</v>
      </c>
      <c r="B20" s="142"/>
      <c r="C20" s="142">
        <f>J30</f>
        <v>0</v>
      </c>
      <c r="D20" s="142">
        <f>K30</f>
        <v>397776.85157186224</v>
      </c>
      <c r="E20" s="142">
        <f>L30</f>
        <v>1207101.9305183548</v>
      </c>
      <c r="F20" s="142">
        <f>M30</f>
        <v>2088035.9688102312</v>
      </c>
      <c r="H20" s="37" t="s">
        <v>112</v>
      </c>
      <c r="I20" s="225">
        <f>SUM(C58:N58)</f>
        <v>0</v>
      </c>
      <c r="J20" s="225">
        <f>SUM(O58:Z58)</f>
        <v>242880.47481265626</v>
      </c>
      <c r="K20" s="225">
        <f>SUM(AA58:AL58)</f>
        <v>1339714.8669679945</v>
      </c>
      <c r="L20" s="225">
        <f>SUM(AM58:AX58)</f>
        <v>6763405.5521695344</v>
      </c>
      <c r="M20" s="225">
        <f>SUM(AY58:BJ58)</f>
        <v>30934436.410666715</v>
      </c>
    </row>
    <row r="21" spans="1:13" outlineLevel="1" x14ac:dyDescent="0.25">
      <c r="A21" s="53" t="str">
        <f>H33</f>
        <v>BM7 : Titrisation</v>
      </c>
      <c r="B21" s="142">
        <f>I35</f>
        <v>0</v>
      </c>
      <c r="C21" s="142">
        <f>J35</f>
        <v>213525.97096726007</v>
      </c>
      <c r="D21" s="142">
        <f>K35</f>
        <v>956458.84825101588</v>
      </c>
      <c r="E21" s="142">
        <f>L35</f>
        <v>1237082.8475114305</v>
      </c>
      <c r="F21" s="142">
        <f>M35</f>
        <v>1514352.8721170507</v>
      </c>
      <c r="H21" s="2" t="s">
        <v>56</v>
      </c>
      <c r="I21" s="224">
        <f>I19-I20</f>
        <v>0</v>
      </c>
      <c r="J21" s="224">
        <f>J19-J20</f>
        <v>-29634.627186991478</v>
      </c>
      <c r="K21" s="224">
        <f>K19-K20</f>
        <v>3862921.5361901987</v>
      </c>
      <c r="L21" s="224">
        <f>L19-L20</f>
        <v>23078912.814174153</v>
      </c>
      <c r="M21" s="224">
        <f>M19-M20</f>
        <v>108760113.99027435</v>
      </c>
    </row>
    <row r="22" spans="1:13" outlineLevel="1" x14ac:dyDescent="0.25">
      <c r="A22" s="37" t="str">
        <f>H38</f>
        <v>BM8 : Cash to digital</v>
      </c>
      <c r="B22" s="143">
        <f>SUM(C62:N62)</f>
        <v>0</v>
      </c>
      <c r="C22" s="143">
        <f>SUM(O62:Z62)</f>
        <v>33084.453327589821</v>
      </c>
      <c r="D22" s="143">
        <f>SUM(AA62:AL62)</f>
        <v>23062.045699494836</v>
      </c>
      <c r="E22" s="143">
        <f>SUM(AM62:AX62)</f>
        <v>28092.945284634232</v>
      </c>
      <c r="F22" s="143">
        <f>SUM(AY62:BJ62)</f>
        <v>42748.666761809363</v>
      </c>
      <c r="H22" s="53"/>
      <c r="I22" s="357"/>
      <c r="J22" s="357"/>
      <c r="K22" s="357"/>
      <c r="L22" s="357"/>
      <c r="M22" s="357"/>
    </row>
    <row r="23" spans="1:13" outlineLevel="1" x14ac:dyDescent="0.25">
      <c r="A23" s="129" t="s">
        <v>83</v>
      </c>
      <c r="B23" s="139">
        <f>SUM(B15:B22)</f>
        <v>236352.00000000003</v>
      </c>
      <c r="C23" s="139">
        <f t="shared" ref="C23:F23" si="6">SUM(C15:C22)</f>
        <v>1759560.9564619593</v>
      </c>
      <c r="D23" s="139">
        <f t="shared" si="6"/>
        <v>4839204.3902728595</v>
      </c>
      <c r="E23" s="139">
        <f t="shared" si="6"/>
        <v>12078024.228773115</v>
      </c>
      <c r="F23" s="139">
        <f t="shared" si="6"/>
        <v>38242183.303497545</v>
      </c>
      <c r="H23" s="9" t="str">
        <f>A8</f>
        <v>BM5 : Digital goods marketplace</v>
      </c>
      <c r="I23" s="81">
        <f>I18</f>
        <v>2020</v>
      </c>
      <c r="J23" s="81">
        <f>J18</f>
        <v>2021</v>
      </c>
      <c r="K23" s="81">
        <f>K18</f>
        <v>2022</v>
      </c>
      <c r="L23" s="81">
        <f>L18</f>
        <v>2023</v>
      </c>
      <c r="M23" s="81">
        <f>M18</f>
        <v>2024</v>
      </c>
    </row>
    <row r="24" spans="1:13" outlineLevel="1" x14ac:dyDescent="0.25">
      <c r="A24" s="2"/>
      <c r="B24" s="2"/>
      <c r="C24" s="2"/>
      <c r="D24" s="2"/>
      <c r="E24" s="2"/>
      <c r="F24" s="2"/>
      <c r="H24" s="2" t="s">
        <v>54</v>
      </c>
      <c r="I24" s="224">
        <f>SUM(C48:N48)</f>
        <v>0</v>
      </c>
      <c r="J24" s="224">
        <f>SUM(O48:Z48)</f>
        <v>0</v>
      </c>
      <c r="K24" s="224">
        <f>SUM(AA48:AL48)</f>
        <v>1170722.7527757313</v>
      </c>
      <c r="L24" s="224">
        <f>SUM(AM48:AX48)</f>
        <v>2803183.4924688237</v>
      </c>
      <c r="M24" s="224">
        <f>SUM(AY48:BJ48)</f>
        <v>3555114.462976764</v>
      </c>
    </row>
    <row r="25" spans="1:13" outlineLevel="1" x14ac:dyDescent="0.25">
      <c r="A25" s="27" t="s">
        <v>56</v>
      </c>
      <c r="B25" s="80">
        <f>B14</f>
        <v>2020</v>
      </c>
      <c r="C25" s="80">
        <f t="shared" ref="C25:F25" si="7">C14</f>
        <v>2021</v>
      </c>
      <c r="D25" s="80">
        <f t="shared" si="7"/>
        <v>2022</v>
      </c>
      <c r="E25" s="80">
        <f t="shared" si="7"/>
        <v>2023</v>
      </c>
      <c r="F25" s="80">
        <f t="shared" si="7"/>
        <v>2024</v>
      </c>
      <c r="H25" s="37" t="s">
        <v>112</v>
      </c>
      <c r="I25" s="225">
        <f>SUM(C59:N59)</f>
        <v>0</v>
      </c>
      <c r="J25" s="224">
        <f>SUM(O59:Z59)</f>
        <v>0</v>
      </c>
      <c r="K25" s="224">
        <f>SUM(AA59:AL59)</f>
        <v>215924.2317255346</v>
      </c>
      <c r="L25" s="224">
        <f>SUM(AM59:AX59)</f>
        <v>206333.38639576061</v>
      </c>
      <c r="M25" s="224">
        <f>SUM(AY59:BJ59)</f>
        <v>227293.31240738201</v>
      </c>
    </row>
    <row r="26" spans="1:13" outlineLevel="1" x14ac:dyDescent="0.25">
      <c r="A26" s="1" t="str">
        <f t="shared" ref="A26:A31" si="8">A15</f>
        <v>BM1 : White label websites</v>
      </c>
      <c r="B26" s="140">
        <f>I6</f>
        <v>98703.099999999977</v>
      </c>
      <c r="C26" s="140">
        <f>J6</f>
        <v>411716.5868010479</v>
      </c>
      <c r="D26" s="140">
        <f>K6</f>
        <v>703426.87862514856</v>
      </c>
      <c r="E26" s="140">
        <f>L6</f>
        <v>1150564.0347934919</v>
      </c>
      <c r="F26" s="140">
        <f>M6</f>
        <v>1827679.3981983652</v>
      </c>
      <c r="H26" s="2" t="s">
        <v>56</v>
      </c>
      <c r="I26" s="224">
        <f>I24-I25</f>
        <v>0</v>
      </c>
      <c r="J26" s="291">
        <f>J24-J25</f>
        <v>0</v>
      </c>
      <c r="K26" s="291">
        <f>K24-K25</f>
        <v>954798.52105019661</v>
      </c>
      <c r="L26" s="291">
        <f>L24-L25</f>
        <v>2596850.1060730629</v>
      </c>
      <c r="M26" s="291">
        <f>M24-M25</f>
        <v>3327821.1505693821</v>
      </c>
    </row>
    <row r="27" spans="1:13" outlineLevel="1" x14ac:dyDescent="0.25">
      <c r="A27" s="1" t="str">
        <f t="shared" si="8"/>
        <v>BM2 : WLW Side revenues</v>
      </c>
      <c r="B27" s="140">
        <f>SUM(C67:N67)</f>
        <v>19762.599999999999</v>
      </c>
      <c r="C27" s="140">
        <f>SUM(O67:Z67)</f>
        <v>403468.25200000004</v>
      </c>
      <c r="D27" s="140">
        <f>SUM(AA67:AL67)</f>
        <v>908418.56599999999</v>
      </c>
      <c r="E27" s="140">
        <f>SUM(AM67:AX67)</f>
        <v>1425136.8907418</v>
      </c>
      <c r="F27" s="140">
        <f>SUM(AY67:BJ67)</f>
        <v>1944858.062420561</v>
      </c>
    </row>
    <row r="28" spans="1:13" outlineLevel="1" x14ac:dyDescent="0.25">
      <c r="A28" s="1" t="str">
        <f t="shared" si="8"/>
        <v>BM3 : Advertising</v>
      </c>
      <c r="B28" s="140">
        <f>I16</f>
        <v>0</v>
      </c>
      <c r="C28" s="140">
        <f>J16</f>
        <v>13122.558328147279</v>
      </c>
      <c r="D28" s="140">
        <f>K16</f>
        <v>2111505.765259685</v>
      </c>
      <c r="E28" s="140">
        <f>L16</f>
        <v>5267641.5746786697</v>
      </c>
      <c r="F28" s="140">
        <f>M16</f>
        <v>10115550.448218558</v>
      </c>
      <c r="H28" s="9" t="str">
        <f>'Media rights marketplace'!A1</f>
        <v>BM6 : Media rights marketplace</v>
      </c>
      <c r="I28" s="81">
        <f>I23</f>
        <v>2020</v>
      </c>
      <c r="J28" s="81">
        <f>J23</f>
        <v>2021</v>
      </c>
      <c r="K28" s="81">
        <f>K23</f>
        <v>2022</v>
      </c>
      <c r="L28" s="81">
        <f>L23</f>
        <v>2023</v>
      </c>
      <c r="M28" s="81">
        <f>M23</f>
        <v>2024</v>
      </c>
    </row>
    <row r="29" spans="1:13" outlineLevel="1" x14ac:dyDescent="0.25">
      <c r="A29" s="1" t="str">
        <f t="shared" si="8"/>
        <v>BM4 : Sponsoring marketplace</v>
      </c>
      <c r="B29" s="140">
        <f>I21</f>
        <v>0</v>
      </c>
      <c r="C29" s="140">
        <f>J21</f>
        <v>-29634.627186991478</v>
      </c>
      <c r="D29" s="140">
        <f>K21</f>
        <v>3862921.5361901987</v>
      </c>
      <c r="E29" s="140">
        <f>L21</f>
        <v>23078912.814174153</v>
      </c>
      <c r="F29" s="140">
        <f>M21</f>
        <v>108760113.99027435</v>
      </c>
      <c r="H29" s="2" t="s">
        <v>54</v>
      </c>
      <c r="I29" s="224">
        <f>SUM(C49:N49)</f>
        <v>0</v>
      </c>
      <c r="J29" s="224">
        <f>SUM(O49:Z49)</f>
        <v>0</v>
      </c>
      <c r="K29" s="224">
        <f>SUM(AA49:AL49)</f>
        <v>298074.81647035124</v>
      </c>
      <c r="L29" s="224">
        <f>SUM(AM49:AX49)</f>
        <v>1993664.427943941</v>
      </c>
      <c r="M29" s="224">
        <f>SUM(AY49:BJ49)</f>
        <v>3743689.8913247688</v>
      </c>
    </row>
    <row r="30" spans="1:13" outlineLevel="1" x14ac:dyDescent="0.25">
      <c r="A30" s="1" t="str">
        <f t="shared" si="8"/>
        <v>BM5 : Digital goods marketplace</v>
      </c>
      <c r="B30" s="140">
        <f>I26</f>
        <v>0</v>
      </c>
      <c r="C30" s="140">
        <f>J26</f>
        <v>0</v>
      </c>
      <c r="D30" s="140">
        <f>K26</f>
        <v>954798.52105019661</v>
      </c>
      <c r="E30" s="140">
        <f>L26</f>
        <v>2596850.1060730629</v>
      </c>
      <c r="F30" s="140">
        <f>M26</f>
        <v>3327821.1505693821</v>
      </c>
      <c r="H30" s="37" t="s">
        <v>112</v>
      </c>
      <c r="I30" s="225">
        <f>SUM(C60:N60)</f>
        <v>0</v>
      </c>
      <c r="J30" s="225">
        <f>SUM(O60:Z60)</f>
        <v>0</v>
      </c>
      <c r="K30" s="225">
        <f>SUM(AA60:AL60)</f>
        <v>397776.85157186224</v>
      </c>
      <c r="L30" s="225">
        <f>SUM(AM60:AX60)</f>
        <v>1207101.9305183548</v>
      </c>
      <c r="M30" s="225">
        <f>SUM(AY60:BJ60)</f>
        <v>2088035.9688102312</v>
      </c>
    </row>
    <row r="31" spans="1:13" outlineLevel="1" x14ac:dyDescent="0.25">
      <c r="A31" s="1" t="str">
        <f t="shared" si="8"/>
        <v>BM6 : Media rights marketplace</v>
      </c>
      <c r="B31" s="142">
        <f>I31</f>
        <v>0</v>
      </c>
      <c r="C31" s="142">
        <f>J31</f>
        <v>0</v>
      </c>
      <c r="D31" s="142">
        <f>K31</f>
        <v>-99702.035101510992</v>
      </c>
      <c r="E31" s="142">
        <f>L31</f>
        <v>786562.49742558622</v>
      </c>
      <c r="F31" s="142">
        <f>M31</f>
        <v>1655653.9225145376</v>
      </c>
      <c r="H31" s="2" t="s">
        <v>56</v>
      </c>
      <c r="I31" s="224">
        <f>I29-I30</f>
        <v>0</v>
      </c>
      <c r="J31" s="224">
        <f>J29-J30</f>
        <v>0</v>
      </c>
      <c r="K31" s="224">
        <f>K29-K30</f>
        <v>-99702.035101510992</v>
      </c>
      <c r="L31" s="224">
        <f>L29-L30</f>
        <v>786562.49742558622</v>
      </c>
      <c r="M31" s="224">
        <f>M29-M30</f>
        <v>1655653.9225145376</v>
      </c>
    </row>
    <row r="32" spans="1:13" outlineLevel="1" x14ac:dyDescent="0.25">
      <c r="A32" s="53" t="str">
        <f>H33</f>
        <v>BM7 : Titrisation</v>
      </c>
      <c r="B32" s="142">
        <f>I36</f>
        <v>0</v>
      </c>
      <c r="C32" s="142">
        <f>J36</f>
        <v>-213525.97096726007</v>
      </c>
      <c r="D32" s="142">
        <f>K36</f>
        <v>2912097.4708361798</v>
      </c>
      <c r="E32" s="142">
        <f>L36</f>
        <v>4064463.0873557348</v>
      </c>
      <c r="F32" s="142">
        <f>M36</f>
        <v>5209289.2582746511</v>
      </c>
    </row>
    <row r="33" spans="1:62" outlineLevel="1" x14ac:dyDescent="0.25">
      <c r="A33" s="37" t="str">
        <f>H38</f>
        <v>BM8 : Cash to digital</v>
      </c>
      <c r="B33" s="143">
        <f>I41</f>
        <v>0</v>
      </c>
      <c r="C33" s="143">
        <f t="shared" ref="C33:F33" si="9">J41</f>
        <v>9274.2455724101819</v>
      </c>
      <c r="D33" s="143">
        <f t="shared" si="9"/>
        <v>184918.71591122862</v>
      </c>
      <c r="E33" s="143">
        <f t="shared" si="9"/>
        <v>624639.77876650612</v>
      </c>
      <c r="F33" s="143">
        <f t="shared" si="9"/>
        <v>2005806.236814688</v>
      </c>
      <c r="H33" s="9" t="str">
        <f>Titrisation!A1</f>
        <v>BM7 : Titrisation</v>
      </c>
      <c r="I33" s="81">
        <f>I28</f>
        <v>2020</v>
      </c>
      <c r="J33" s="81">
        <f>J28</f>
        <v>2021</v>
      </c>
      <c r="K33" s="81">
        <f>K28</f>
        <v>2022</v>
      </c>
      <c r="L33" s="81">
        <f>L28</f>
        <v>2023</v>
      </c>
      <c r="M33" s="81">
        <f>M28</f>
        <v>2024</v>
      </c>
    </row>
    <row r="34" spans="1:62" outlineLevel="1" x14ac:dyDescent="0.25">
      <c r="A34" s="129" t="s">
        <v>83</v>
      </c>
      <c r="B34" s="139">
        <f>SUM(B26:B33)</f>
        <v>118465.69999999998</v>
      </c>
      <c r="C34" s="139">
        <f t="shared" ref="C34:F34" si="10">SUM(C26:C33)</f>
        <v>594421.04454735387</v>
      </c>
      <c r="D34" s="139">
        <f t="shared" si="10"/>
        <v>11538385.418771125</v>
      </c>
      <c r="E34" s="139">
        <f t="shared" si="10"/>
        <v>38994770.784009002</v>
      </c>
      <c r="F34" s="139">
        <f t="shared" si="10"/>
        <v>134846772.4672851</v>
      </c>
      <c r="H34" s="2" t="s">
        <v>54</v>
      </c>
      <c r="I34" s="224">
        <f>SUM(C50:N50)</f>
        <v>0</v>
      </c>
      <c r="J34" s="224">
        <f>SUM(O50:Z50)</f>
        <v>0</v>
      </c>
      <c r="K34" s="224">
        <f>SUM(AA50:AL50)</f>
        <v>3868556.3190871957</v>
      </c>
      <c r="L34" s="224">
        <f>SUM(AM50:AX50)</f>
        <v>5301545.9348671651</v>
      </c>
      <c r="M34" s="224">
        <f>SUM(AY50:BJ50)</f>
        <v>6723642.1303917021</v>
      </c>
    </row>
    <row r="35" spans="1:62" outlineLevel="1" x14ac:dyDescent="0.25">
      <c r="H35" s="37" t="s">
        <v>112</v>
      </c>
      <c r="I35" s="225">
        <f>SUM(C61:N61)</f>
        <v>0</v>
      </c>
      <c r="J35" s="225">
        <f>SUM(O61:Z61)</f>
        <v>213525.97096726007</v>
      </c>
      <c r="K35" s="225">
        <f>SUM(AA61:AL61)</f>
        <v>956458.84825101588</v>
      </c>
      <c r="L35" s="225">
        <f>SUM(AM61:AX61)</f>
        <v>1237082.8475114305</v>
      </c>
      <c r="M35" s="225">
        <f>SUM(AY61:BJ61)</f>
        <v>1514352.8721170507</v>
      </c>
    </row>
    <row r="36" spans="1:62" x14ac:dyDescent="0.25">
      <c r="H36" s="2" t="s">
        <v>56</v>
      </c>
      <c r="I36" s="224">
        <f>I34-I35</f>
        <v>0</v>
      </c>
      <c r="J36" s="224">
        <f>J34-J35</f>
        <v>-213525.97096726007</v>
      </c>
      <c r="K36" s="224">
        <f>K34-K35</f>
        <v>2912097.4708361798</v>
      </c>
      <c r="L36" s="224">
        <f>L34-L35</f>
        <v>4064463.0873557348</v>
      </c>
      <c r="M36" s="224">
        <f>M34-M35</f>
        <v>5209289.2582746511</v>
      </c>
    </row>
    <row r="37" spans="1:62" x14ac:dyDescent="0.25">
      <c r="A37" s="2"/>
      <c r="B37" s="2"/>
      <c r="C37" s="2"/>
      <c r="D37" s="2"/>
      <c r="E37" s="2"/>
      <c r="F37" s="2"/>
    </row>
    <row r="38" spans="1:62" x14ac:dyDescent="0.25">
      <c r="A38" s="2"/>
      <c r="B38" s="2"/>
      <c r="C38" s="2"/>
      <c r="D38" s="2"/>
      <c r="E38" s="2"/>
      <c r="F38" s="2"/>
      <c r="H38" s="9" t="str">
        <f>'Cash to digital'!A1</f>
        <v>BM8 : Cash to digital</v>
      </c>
      <c r="I38" s="81">
        <f>I33</f>
        <v>2020</v>
      </c>
      <c r="J38" s="81">
        <f>J33</f>
        <v>2021</v>
      </c>
      <c r="K38" s="81">
        <f>K33</f>
        <v>2022</v>
      </c>
      <c r="L38" s="81">
        <f>L33</f>
        <v>2023</v>
      </c>
      <c r="M38" s="81">
        <f>M33</f>
        <v>2024</v>
      </c>
    </row>
    <row r="39" spans="1:62" x14ac:dyDescent="0.25">
      <c r="A39" s="2"/>
      <c r="B39" s="2"/>
      <c r="C39" s="2"/>
      <c r="D39" s="2"/>
      <c r="E39" s="2"/>
      <c r="F39" s="2"/>
      <c r="H39" s="2" t="s">
        <v>54</v>
      </c>
      <c r="I39" s="224">
        <f>B11</f>
        <v>0</v>
      </c>
      <c r="J39" s="224">
        <f t="shared" ref="J39:M39" si="11">C11</f>
        <v>42358.698900000003</v>
      </c>
      <c r="K39" s="224">
        <f t="shared" si="11"/>
        <v>207980.76161072345</v>
      </c>
      <c r="L39" s="224">
        <f t="shared" si="11"/>
        <v>652732.72405114037</v>
      </c>
      <c r="M39" s="224">
        <f t="shared" si="11"/>
        <v>2048554.9035764972</v>
      </c>
    </row>
    <row r="40" spans="1:62" x14ac:dyDescent="0.25">
      <c r="A40" s="2"/>
      <c r="B40" s="2"/>
      <c r="C40" s="2"/>
      <c r="D40" s="2"/>
      <c r="E40" s="2"/>
      <c r="F40" s="2"/>
      <c r="H40" s="37" t="s">
        <v>112</v>
      </c>
      <c r="I40" s="225">
        <f>B22</f>
        <v>0</v>
      </c>
      <c r="J40" s="225">
        <f t="shared" ref="J40:M40" si="12">C22</f>
        <v>33084.453327589821</v>
      </c>
      <c r="K40" s="225">
        <f t="shared" si="12"/>
        <v>23062.045699494836</v>
      </c>
      <c r="L40" s="225">
        <f t="shared" si="12"/>
        <v>28092.945284634232</v>
      </c>
      <c r="M40" s="225">
        <f t="shared" si="12"/>
        <v>42748.666761809363</v>
      </c>
    </row>
    <row r="41" spans="1:62" x14ac:dyDescent="0.25">
      <c r="A41" s="2"/>
      <c r="B41" s="2"/>
      <c r="C41" s="2"/>
      <c r="D41" s="2"/>
      <c r="E41" s="2"/>
      <c r="F41" s="2"/>
      <c r="H41" s="2" t="s">
        <v>56</v>
      </c>
      <c r="I41" s="224">
        <f>I39-I40</f>
        <v>0</v>
      </c>
      <c r="J41" s="224">
        <f>J39-J40</f>
        <v>9274.2455724101819</v>
      </c>
      <c r="K41" s="224">
        <f>K39-K40</f>
        <v>184918.71591122862</v>
      </c>
      <c r="L41" s="224">
        <f>L39-L40</f>
        <v>624639.77876650612</v>
      </c>
      <c r="M41" s="224">
        <f>M39-M40</f>
        <v>2005806.236814688</v>
      </c>
    </row>
    <row r="42" spans="1:62" x14ac:dyDescent="0.25">
      <c r="A42" s="2"/>
      <c r="B42" s="2"/>
      <c r="C42" s="2"/>
      <c r="D42" s="2"/>
      <c r="E42" s="2"/>
      <c r="F42" s="2"/>
    </row>
    <row r="43" spans="1:62" x14ac:dyDescent="0.25">
      <c r="A43" s="30" t="s">
        <v>54</v>
      </c>
      <c r="B43" s="30" t="s">
        <v>418</v>
      </c>
      <c r="C43" s="29">
        <v>43831</v>
      </c>
      <c r="D43" s="29">
        <v>43862</v>
      </c>
      <c r="E43" s="29">
        <v>43891</v>
      </c>
      <c r="F43" s="29">
        <v>43922</v>
      </c>
      <c r="G43" s="29">
        <v>43952</v>
      </c>
      <c r="H43" s="29">
        <v>43983</v>
      </c>
      <c r="I43" s="29">
        <v>44013</v>
      </c>
      <c r="J43" s="29">
        <v>44044</v>
      </c>
      <c r="K43" s="29">
        <v>44075</v>
      </c>
      <c r="L43" s="29">
        <v>44105</v>
      </c>
      <c r="M43" s="29">
        <v>44136</v>
      </c>
      <c r="N43" s="29">
        <v>44166</v>
      </c>
      <c r="O43" s="29">
        <v>44197</v>
      </c>
      <c r="P43" s="29">
        <v>44228</v>
      </c>
      <c r="Q43" s="29">
        <v>44256</v>
      </c>
      <c r="R43" s="29">
        <v>44287</v>
      </c>
      <c r="S43" s="29">
        <v>44317</v>
      </c>
      <c r="T43" s="29">
        <v>44348</v>
      </c>
      <c r="U43" s="29">
        <v>44378</v>
      </c>
      <c r="V43" s="29">
        <v>44409</v>
      </c>
      <c r="W43" s="29">
        <v>44440</v>
      </c>
      <c r="X43" s="29">
        <v>44470</v>
      </c>
      <c r="Y43" s="29">
        <v>44501</v>
      </c>
      <c r="Z43" s="29">
        <v>44531</v>
      </c>
      <c r="AA43" s="29">
        <v>44562</v>
      </c>
      <c r="AB43" s="29">
        <v>44593</v>
      </c>
      <c r="AC43" s="29">
        <v>44621</v>
      </c>
      <c r="AD43" s="29">
        <v>44652</v>
      </c>
      <c r="AE43" s="29">
        <v>44682</v>
      </c>
      <c r="AF43" s="29">
        <v>44713</v>
      </c>
      <c r="AG43" s="29">
        <v>44743</v>
      </c>
      <c r="AH43" s="29">
        <v>44774</v>
      </c>
      <c r="AI43" s="29">
        <v>44805</v>
      </c>
      <c r="AJ43" s="29">
        <v>44835</v>
      </c>
      <c r="AK43" s="29">
        <v>44866</v>
      </c>
      <c r="AL43" s="29">
        <v>44896</v>
      </c>
      <c r="AM43" s="29">
        <v>44927</v>
      </c>
      <c r="AN43" s="29">
        <v>44958</v>
      </c>
      <c r="AO43" s="29">
        <v>44986</v>
      </c>
      <c r="AP43" s="29">
        <v>45017</v>
      </c>
      <c r="AQ43" s="29">
        <v>45047</v>
      </c>
      <c r="AR43" s="29">
        <v>45078</v>
      </c>
      <c r="AS43" s="29">
        <v>45108</v>
      </c>
      <c r="AT43" s="29">
        <v>45139</v>
      </c>
      <c r="AU43" s="29">
        <v>45170</v>
      </c>
      <c r="AV43" s="29">
        <v>45200</v>
      </c>
      <c r="AW43" s="29">
        <v>45231</v>
      </c>
      <c r="AX43" s="29">
        <v>45261</v>
      </c>
      <c r="AY43" s="29">
        <v>45292</v>
      </c>
      <c r="AZ43" s="29">
        <v>45323</v>
      </c>
      <c r="BA43" s="29">
        <v>45352</v>
      </c>
      <c r="BB43" s="29">
        <v>45383</v>
      </c>
      <c r="BC43" s="29">
        <v>45413</v>
      </c>
      <c r="BD43" s="29">
        <v>45444</v>
      </c>
      <c r="BE43" s="29">
        <v>45474</v>
      </c>
      <c r="BF43" s="29">
        <v>45505</v>
      </c>
      <c r="BG43" s="29">
        <v>45536</v>
      </c>
      <c r="BH43" s="29">
        <v>45566</v>
      </c>
      <c r="BI43" s="29">
        <v>45597</v>
      </c>
      <c r="BJ43" s="29">
        <v>45627</v>
      </c>
    </row>
    <row r="44" spans="1:62" outlineLevel="1" x14ac:dyDescent="0.25">
      <c r="A44" s="1" t="str">
        <f>A4</f>
        <v>BM1 : White label websites</v>
      </c>
      <c r="B44" s="238">
        <f>C43</f>
        <v>43831</v>
      </c>
      <c r="C44" s="140">
        <f>'White label websites (WLW)'!C153</f>
        <v>1820</v>
      </c>
      <c r="D44" s="140">
        <f>'White label websites (WLW)'!D153</f>
        <v>3640</v>
      </c>
      <c r="E44" s="140">
        <f>'White label websites (WLW)'!E153</f>
        <v>5460</v>
      </c>
      <c r="F44" s="140">
        <f>'White label websites (WLW)'!F153</f>
        <v>9100</v>
      </c>
      <c r="G44" s="140">
        <f>'White label websites (WLW)'!G153</f>
        <v>12740</v>
      </c>
      <c r="H44" s="140">
        <f>'White label websites (WLW)'!H153</f>
        <v>16380</v>
      </c>
      <c r="I44" s="140">
        <f>'White label websites (WLW)'!I153</f>
        <v>20020</v>
      </c>
      <c r="J44" s="140">
        <f>'White label websites (WLW)'!J153</f>
        <v>27300</v>
      </c>
      <c r="K44" s="140">
        <f>'White label websites (WLW)'!K153</f>
        <v>35337.5</v>
      </c>
      <c r="L44" s="140">
        <f>'White label websites (WLW)'!L153</f>
        <v>46840</v>
      </c>
      <c r="M44" s="140">
        <f>'White label websites (WLW)'!M153</f>
        <v>61050</v>
      </c>
      <c r="N44" s="140">
        <f>'White label websites (WLW)'!N153</f>
        <v>78725</v>
      </c>
      <c r="O44" s="140">
        <f>N44*(1+'White label websites (WLW)'!$H$22)</f>
        <v>81086.75</v>
      </c>
      <c r="P44" s="140">
        <f>O44*(1+'White label websites (WLW)'!$H$22)</f>
        <v>83519.352500000008</v>
      </c>
      <c r="Q44" s="140">
        <f>P44*(1+'White label websites (WLW)'!$H$22)</f>
        <v>86024.933075000008</v>
      </c>
      <c r="R44" s="140">
        <f>Q44*(1+'White label websites (WLW)'!$H$22)</f>
        <v>88605.681067250014</v>
      </c>
      <c r="S44" s="140">
        <f>R44*(1+'White label websites (WLW)'!$H$22)</f>
        <v>91263.851499267519</v>
      </c>
      <c r="T44" s="140">
        <f>S44*(1+'White label websites (WLW)'!$H$22)</f>
        <v>94001.767044245542</v>
      </c>
      <c r="U44" s="140">
        <f>T44*(1+'White label websites (WLW)'!$H$22)</f>
        <v>96821.820055572913</v>
      </c>
      <c r="V44" s="140">
        <f>U44*(1+'White label websites (WLW)'!$H$22)</f>
        <v>99726.474657240105</v>
      </c>
      <c r="W44" s="140">
        <f>V44*(1+'White label websites (WLW)'!$H$22)</f>
        <v>102718.26889695731</v>
      </c>
      <c r="X44" s="140">
        <f>W44*(1+'White label websites (WLW)'!$H$22)</f>
        <v>105799.81696386603</v>
      </c>
      <c r="Y44" s="140">
        <f>X44*(1+'White label websites (WLW)'!$H$22)</f>
        <v>108973.81147278202</v>
      </c>
      <c r="Z44" s="140">
        <f>Y44*(1+'White label websites (WLW)'!$H$22)</f>
        <v>112243.02581696548</v>
      </c>
      <c r="AA44" s="140">
        <f>Z44*(1+'White label websites (WLW)'!$H$22)</f>
        <v>115610.31659147445</v>
      </c>
      <c r="AB44" s="140">
        <f>AA44*(1+'White label websites (WLW)'!$H$22)</f>
        <v>119078.62608921868</v>
      </c>
      <c r="AC44" s="140">
        <f>AB44*(1+'White label websites (WLW)'!$H$22)</f>
        <v>122650.98487189524</v>
      </c>
      <c r="AD44" s="140">
        <f>AC44*(1+'White label websites (WLW)'!$H$22)</f>
        <v>126330.5144180521</v>
      </c>
      <c r="AE44" s="140">
        <f>AD44*(1+'White label websites (WLW)'!$H$22)</f>
        <v>130120.42985059367</v>
      </c>
      <c r="AF44" s="140">
        <f>AE44*(1+'White label websites (WLW)'!$H$22)</f>
        <v>134024.04274611149</v>
      </c>
      <c r="AG44" s="140">
        <f>AF44*(1+'White label websites (WLW)'!$H$22)</f>
        <v>138044.76402849483</v>
      </c>
      <c r="AH44" s="140">
        <f>AG44*(1+'White label websites (WLW)'!$H$22)</f>
        <v>142186.10694934969</v>
      </c>
      <c r="AI44" s="140">
        <f>AH44*(1+'White label websites (WLW)'!$H$22)</f>
        <v>146451.69015783019</v>
      </c>
      <c r="AJ44" s="140">
        <f>AI44*(1+'White label websites (WLW)'!$H$22)</f>
        <v>150845.24086256512</v>
      </c>
      <c r="AK44" s="140">
        <f>AJ44*(1+'White label websites (WLW)'!$H$22)</f>
        <v>155370.59808844209</v>
      </c>
      <c r="AL44" s="140">
        <f>AK44*(1+'White label websites (WLW)'!$H$22)</f>
        <v>160031.71603109536</v>
      </c>
      <c r="AM44" s="140">
        <f>AL44*(1+'White label websites (WLW)'!$H$22)</f>
        <v>164832.66751202822</v>
      </c>
      <c r="AN44" s="140">
        <f>AM44*(1+'White label websites (WLW)'!$H$22)</f>
        <v>169777.64753738907</v>
      </c>
      <c r="AO44" s="140">
        <f>AN44*(1+'White label websites (WLW)'!$H$22)</f>
        <v>174870.97696351074</v>
      </c>
      <c r="AP44" s="140">
        <f>AO44*(1+'White label websites (WLW)'!$H$22)</f>
        <v>180117.10627241607</v>
      </c>
      <c r="AQ44" s="140">
        <f>AP44*(1+'White label websites (WLW)'!$H$22)</f>
        <v>185520.61946058855</v>
      </c>
      <c r="AR44" s="140">
        <f>AQ44*(1+'White label websites (WLW)'!$H$22)</f>
        <v>191086.23804440623</v>
      </c>
      <c r="AS44" s="140">
        <f>AR44*(1+'White label websites (WLW)'!$H$22)</f>
        <v>196818.82518573842</v>
      </c>
      <c r="AT44" s="140">
        <f>AS44*(1+'White label websites (WLW)'!$H$22)</f>
        <v>202723.38994131057</v>
      </c>
      <c r="AU44" s="140">
        <f>AT44*(1+'White label websites (WLW)'!$H$22)</f>
        <v>208805.09163954988</v>
      </c>
      <c r="AV44" s="140">
        <f>AU44*(1+'White label websites (WLW)'!$H$22)</f>
        <v>215069.24438873638</v>
      </c>
      <c r="AW44" s="140">
        <f>AV44*(1+'White label websites (WLW)'!$H$22)</f>
        <v>221521.32172039847</v>
      </c>
      <c r="AX44" s="140">
        <f>AW44*(1+'White label websites (WLW)'!$H$22)</f>
        <v>228166.96137201044</v>
      </c>
      <c r="AY44" s="140">
        <f>AX44*(1+'White label websites (WLW)'!$H$22)</f>
        <v>235011.97021317075</v>
      </c>
      <c r="AZ44" s="140">
        <f>AY44*(1+'White label websites (WLW)'!$H$22)</f>
        <v>242062.32931956588</v>
      </c>
      <c r="BA44" s="140">
        <f>AZ44*(1+'White label websites (WLW)'!$H$22)</f>
        <v>249324.19919915285</v>
      </c>
      <c r="BB44" s="140">
        <f>BA44*(1+'White label websites (WLW)'!$H$22)</f>
        <v>256803.92517512743</v>
      </c>
      <c r="BC44" s="140">
        <f>BB44*(1+'White label websites (WLW)'!$H$22)</f>
        <v>264508.04293038126</v>
      </c>
      <c r="BD44" s="140">
        <f>BC44*(1+'White label websites (WLW)'!$H$22)</f>
        <v>272443.28421829268</v>
      </c>
      <c r="BE44" s="140">
        <f>BD44*(1+'White label websites (WLW)'!$H$22)</f>
        <v>280616.58274484146</v>
      </c>
      <c r="BF44" s="140">
        <f>BE44*(1+'White label websites (WLW)'!$H$22)</f>
        <v>289035.08022718673</v>
      </c>
      <c r="BG44" s="140">
        <f>BF44*(1+'White label websites (WLW)'!$H$22)</f>
        <v>297706.13263400237</v>
      </c>
      <c r="BH44" s="140">
        <f>BG44*(1+'White label websites (WLW)'!$H$22)</f>
        <v>306637.31661302247</v>
      </c>
      <c r="BI44" s="140">
        <f>BH44*(1+'White label websites (WLW)'!$H$22)</f>
        <v>315836.43611141318</v>
      </c>
      <c r="BJ44" s="140">
        <f>BI44*(1+'White label websites (WLW)'!$H$22)</f>
        <v>325311.5291947556</v>
      </c>
    </row>
    <row r="45" spans="1:62" outlineLevel="1" x14ac:dyDescent="0.25">
      <c r="A45" s="1" t="str">
        <f>A27</f>
        <v>BM2 : WLW Side revenues</v>
      </c>
      <c r="B45" s="238">
        <f>B44</f>
        <v>43831</v>
      </c>
      <c r="C45" s="140">
        <f>'WLW Side revenues'!B86</f>
        <v>50.400000000000006</v>
      </c>
      <c r="D45" s="140">
        <f>'WLW Side revenues'!C86</f>
        <v>100.80000000000001</v>
      </c>
      <c r="E45" s="140">
        <f>'WLW Side revenues'!D86</f>
        <v>401.2</v>
      </c>
      <c r="F45" s="140">
        <f>'WLW Side revenues'!E86</f>
        <v>451.6</v>
      </c>
      <c r="G45" s="140">
        <f>'WLW Side revenues'!F86</f>
        <v>502</v>
      </c>
      <c r="H45" s="140">
        <f>'WLW Side revenues'!G86</f>
        <v>552.4</v>
      </c>
      <c r="I45" s="140">
        <f>'WLW Side revenues'!H86</f>
        <v>602.79999999999995</v>
      </c>
      <c r="J45" s="140">
        <f>'WLW Side revenues'!I86</f>
        <v>1154</v>
      </c>
      <c r="K45" s="140">
        <f>'WLW Side revenues'!J86</f>
        <v>1755.6</v>
      </c>
      <c r="L45" s="140">
        <f>'WLW Side revenues'!K86</f>
        <v>2308</v>
      </c>
      <c r="M45" s="140">
        <f>'WLW Side revenues'!L86</f>
        <v>3611.2</v>
      </c>
      <c r="N45" s="140">
        <f>'WLW Side revenues'!M86</f>
        <v>24915.200000000001</v>
      </c>
      <c r="O45" s="140">
        <f>'WLW Side revenues'!N86</f>
        <v>25890.975999999999</v>
      </c>
      <c r="P45" s="140">
        <f>'WLW Side revenues'!O86</f>
        <v>27039.096000000001</v>
      </c>
      <c r="Q45" s="140">
        <f>'WLW Side revenues'!P86</f>
        <v>48587.216</v>
      </c>
      <c r="R45" s="140">
        <f>'WLW Side revenues'!Q86</f>
        <v>49735.336000000003</v>
      </c>
      <c r="S45" s="140">
        <f>'WLW Side revenues'!R86</f>
        <v>50733.455999999998</v>
      </c>
      <c r="T45" s="140">
        <f>'WLW Side revenues'!S86</f>
        <v>72031.576000000001</v>
      </c>
      <c r="U45" s="140">
        <f>'WLW Side revenues'!T86</f>
        <v>73429.695999999996</v>
      </c>
      <c r="V45" s="140">
        <f>'WLW Side revenues'!U86</f>
        <v>74977.816000000006</v>
      </c>
      <c r="W45" s="140">
        <f>'WLW Side revenues'!V86</f>
        <v>75725.936000000002</v>
      </c>
      <c r="X45" s="140">
        <f>'WLW Side revenues'!W86</f>
        <v>76923.868000000002</v>
      </c>
      <c r="Y45" s="140">
        <f>'WLW Side revenues'!X86</f>
        <v>98771.8</v>
      </c>
      <c r="Z45" s="140">
        <f>'WLW Side revenues'!Y86</f>
        <v>99969.732000000004</v>
      </c>
      <c r="AA45" s="140">
        <f>'WLW Side revenues'!Z86</f>
        <v>101081.45759999999</v>
      </c>
      <c r="AB45" s="140">
        <f>'WLW Side revenues'!AA86</f>
        <v>122523.87639999999</v>
      </c>
      <c r="AC45" s="140">
        <f>'WLW Side revenues'!AB86</f>
        <v>123466.29519999999</v>
      </c>
      <c r="AD45" s="140">
        <f>'WLW Side revenues'!AC86</f>
        <v>125308.71400000001</v>
      </c>
      <c r="AE45" s="140">
        <f>'WLW Side revenues'!AD86</f>
        <v>146501.13279999999</v>
      </c>
      <c r="AF45" s="140">
        <f>'WLW Side revenues'!AE86</f>
        <v>147943.55160000001</v>
      </c>
      <c r="AG45" s="140">
        <f>'WLW Side revenues'!AF86</f>
        <v>149535.97039999999</v>
      </c>
      <c r="AH45" s="140">
        <f>'WLW Side revenues'!AG86</f>
        <v>150328.38920000001</v>
      </c>
      <c r="AI45" s="140">
        <f>'WLW Side revenues'!AH86</f>
        <v>151920.80799999999</v>
      </c>
      <c r="AJ45" s="140">
        <f>'WLW Side revenues'!AI86</f>
        <v>173363.2268</v>
      </c>
      <c r="AK45" s="140">
        <f>'WLW Side revenues'!AJ86</f>
        <v>174555.64559999999</v>
      </c>
      <c r="AL45" s="140">
        <f>'WLW Side revenues'!AK86</f>
        <v>176148.0644</v>
      </c>
      <c r="AM45" s="140">
        <f>'WLW Side revenues'!AL86</f>
        <v>197503.49098559999</v>
      </c>
      <c r="AN45" s="140">
        <f>'WLW Side revenues'!AM86</f>
        <v>198692.76204100001</v>
      </c>
      <c r="AO45" s="140">
        <f>'WLW Side revenues'!AN86</f>
        <v>199482.0330964</v>
      </c>
      <c r="AP45" s="140">
        <f>'WLW Side revenues'!AO86</f>
        <v>221071.3041518</v>
      </c>
      <c r="AQ45" s="140">
        <f>'WLW Side revenues'!AP86</f>
        <v>222510.57520719999</v>
      </c>
      <c r="AR45" s="140">
        <f>'WLW Side revenues'!AQ86</f>
        <v>224099.84626260001</v>
      </c>
      <c r="AS45" s="140">
        <f>'WLW Side revenues'!AR86</f>
        <v>225289.117318</v>
      </c>
      <c r="AT45" s="140">
        <f>'WLW Side revenues'!AS86</f>
        <v>226328.3883734</v>
      </c>
      <c r="AU45" s="140">
        <f>'WLW Side revenues'!AT86</f>
        <v>247917.65942879999</v>
      </c>
      <c r="AV45" s="140">
        <f>'WLW Side revenues'!AU86</f>
        <v>249106.93048420001</v>
      </c>
      <c r="AW45" s="140">
        <f>'WLW Side revenues'!AV86</f>
        <v>250696.20153960001</v>
      </c>
      <c r="AX45" s="140">
        <f>'WLW Side revenues'!AW86</f>
        <v>272135.472595</v>
      </c>
      <c r="AY45" s="140">
        <f>'WLW Side revenues'!AX86</f>
        <v>273245.66390650161</v>
      </c>
      <c r="AZ45" s="140">
        <f>'WLW Side revenues'!AY86</f>
        <v>274682.93983074819</v>
      </c>
      <c r="BA45" s="140">
        <f>'WLW Side revenues'!AZ86</f>
        <v>296020.21575499477</v>
      </c>
      <c r="BB45" s="140">
        <f>'WLW Side revenues'!BA86</f>
        <v>297506.33494508202</v>
      </c>
      <c r="BC45" s="140">
        <f>'WLW Side revenues'!BB86</f>
        <v>298342.45413516922</v>
      </c>
      <c r="BD45" s="140">
        <f>'WLW Side revenues'!BC86</f>
        <v>299978.57332525641</v>
      </c>
      <c r="BE45" s="140">
        <f>'WLW Side revenues'!BD86</f>
        <v>301464.6925153436</v>
      </c>
      <c r="BF45" s="140">
        <f>'WLW Side revenues'!BE86</f>
        <v>323100.81170543079</v>
      </c>
      <c r="BG45" s="140">
        <f>'WLW Side revenues'!BF86</f>
        <v>324586.93089551799</v>
      </c>
      <c r="BH45" s="140">
        <f>'WLW Side revenues'!BG86</f>
        <v>346223.05008560518</v>
      </c>
      <c r="BI45" s="140">
        <f>'WLW Side revenues'!BH86</f>
        <v>347459.16927569237</v>
      </c>
      <c r="BJ45" s="140">
        <f>'WLW Side revenues'!BI86</f>
        <v>348945.28846577962</v>
      </c>
    </row>
    <row r="46" spans="1:62" outlineLevel="1" x14ac:dyDescent="0.25">
      <c r="A46" s="1" t="str">
        <f>A6</f>
        <v>BM3 : Advertising</v>
      </c>
      <c r="B46" s="238">
        <f>Advertising!B20+1</f>
        <v>44469</v>
      </c>
      <c r="C46" s="114">
        <f>IF(C43&gt;=$B$46,HLOOKUP(C43,Advertising!$B$65:$AU$67,2),0)</f>
        <v>0</v>
      </c>
      <c r="D46" s="114">
        <f>IF(D43&gt;=$B$46,HLOOKUP(D43,Advertising!$B$65:$AU$67,2),0)</f>
        <v>0</v>
      </c>
      <c r="E46" s="114">
        <f>IF(E43&gt;=$B$46,HLOOKUP(E43,Advertising!$B$65:$AU$67,2),0)</f>
        <v>0</v>
      </c>
      <c r="F46" s="114">
        <f>IF(F43&gt;=$B$46,HLOOKUP(F43,Advertising!$B$65:$AU$67,2),0)</f>
        <v>0</v>
      </c>
      <c r="G46" s="114">
        <f>IF(G43&gt;=$B$46,HLOOKUP(G43,Advertising!$B$65:$AU$67,2),0)</f>
        <v>0</v>
      </c>
      <c r="H46" s="114">
        <f>IF(H43&gt;=$B$46,HLOOKUP(H43,Advertising!$B$65:$AU$67,2),0)</f>
        <v>0</v>
      </c>
      <c r="I46" s="114">
        <f>IF(I43&gt;=$B$46,HLOOKUP(I43,Advertising!$B$65:$AU$67,2),0)</f>
        <v>0</v>
      </c>
      <c r="J46" s="114">
        <f>IF(J43&gt;=$B$46,HLOOKUP(J43,Advertising!$B$65:$AU$67,2),0)</f>
        <v>0</v>
      </c>
      <c r="K46" s="114">
        <f>IF(K43&gt;=$B$46,HLOOKUP(K43,Advertising!$B$65:$AU$67,2),0)</f>
        <v>0</v>
      </c>
      <c r="L46" s="114">
        <f>IF(L43&gt;=$B$46,HLOOKUP(L43,Advertising!$B$65:$AU$67,2),0)</f>
        <v>0</v>
      </c>
      <c r="M46" s="114">
        <f>IF(M43&gt;=$B$46,HLOOKUP(M43,Advertising!$B$65:$AU$67,2),0)</f>
        <v>0</v>
      </c>
      <c r="N46" s="114">
        <f>IF(N43&gt;=$B$46,HLOOKUP(N43,Advertising!$B$65:$AU$67,2),0)</f>
        <v>0</v>
      </c>
      <c r="O46" s="114">
        <f>IF(O43&gt;=$B$46,HLOOKUP(O43,Advertising!$B$65:$AU$67,2),0)</f>
        <v>0</v>
      </c>
      <c r="P46" s="114">
        <f>IF(P43&gt;=$B$46,HLOOKUP(P43,Advertising!$B$65:$AU$67,2),0)</f>
        <v>0</v>
      </c>
      <c r="Q46" s="114">
        <f>IF(Q43&gt;=$B$46,HLOOKUP(Q43,Advertising!$B$65:$AU$67,2),0)</f>
        <v>0</v>
      </c>
      <c r="R46" s="114">
        <f>IF(R43&gt;=$B$46,HLOOKUP(R43,Advertising!$B$65:$AU$67,2),0)</f>
        <v>0</v>
      </c>
      <c r="S46" s="114">
        <f>IF(S43&gt;=$B$46,HLOOKUP(S43,Advertising!$B$65:$AU$67,2),0)</f>
        <v>0</v>
      </c>
      <c r="T46" s="114">
        <f>IF(T43&gt;=$B$46,HLOOKUP(T43,Advertising!$B$65:$AU$67,2),0)</f>
        <v>0</v>
      </c>
      <c r="U46" s="114">
        <f>IF(U43&gt;=$B$46,HLOOKUP(U43,Advertising!$B$65:$AU$67,2),0)</f>
        <v>0</v>
      </c>
      <c r="V46" s="114">
        <f>IF(V43&gt;=$B$46,HLOOKUP(V43,Advertising!$B$65:$AU$67,2),0)</f>
        <v>0</v>
      </c>
      <c r="W46" s="114">
        <f>IF(W43&gt;=$B$46,HLOOKUP(W43,Advertising!$B$65:$AU$67,2),0)</f>
        <v>0</v>
      </c>
      <c r="X46" s="114">
        <f>IF(X43&gt;=$B$46,HLOOKUP(X43,Advertising!$B$65:$AU$67,2),0)</f>
        <v>0</v>
      </c>
      <c r="Y46" s="114">
        <f>IF(Y43&gt;=$B$46,HLOOKUP(Y43,Advertising!$B$65:$AU$67,2),0)</f>
        <v>83828.790896554405</v>
      </c>
      <c r="Z46" s="114">
        <f>IF(Z43&gt;=$B$46,HLOOKUP(Z43,Advertising!$B$65:$AU$67,2),0)</f>
        <v>89946.606537946704</v>
      </c>
      <c r="AA46" s="114">
        <f>IF(AA43&gt;=$B$46,HLOOKUP(AA43,Advertising!$B$65:$AU$67,2),0)</f>
        <v>96185.42198933012</v>
      </c>
      <c r="AB46" s="114">
        <f>IF(AB43&gt;=$B$46,HLOOKUP(AB43,Advertising!$B$65:$AU$67,2),0)</f>
        <v>107451.89296142303</v>
      </c>
      <c r="AC46" s="114">
        <f>IF(AC43&gt;=$B$46,HLOOKUP(AC43,Advertising!$B$65:$AU$67,2),0)</f>
        <v>133948.8193310698</v>
      </c>
      <c r="AD46" s="114">
        <f>IF(AD43&gt;=$B$46,HLOOKUP(AD43,Advertising!$B$65:$AU$67,2),0)</f>
        <v>145679.37190829104</v>
      </c>
      <c r="AE46" s="114">
        <f>IF(AE43&gt;=$B$46,HLOOKUP(AE43,Advertising!$B$65:$AU$67,2),0)</f>
        <v>157214.41690255754</v>
      </c>
      <c r="AF46" s="114">
        <f>IF(AF43&gt;=$B$46,HLOOKUP(AF43,Advertising!$B$65:$AU$67,2),0)</f>
        <v>168947.6066799257</v>
      </c>
      <c r="AG46" s="114">
        <f>IF(AG43&gt;=$B$46,HLOOKUP(AG43,Advertising!$B$65:$AU$67,2),0)</f>
        <v>195883.04480654403</v>
      </c>
      <c r="AH46" s="114">
        <f>IF(AH43&gt;=$B$46,HLOOKUP(AH43,Advertising!$B$65:$AU$67,2),0)</f>
        <v>208025.36038232653</v>
      </c>
      <c r="AI46" s="114">
        <f>IF(AI43&gt;=$B$46,HLOOKUP(AI43,Advertising!$B$65:$AU$67,2),0)</f>
        <v>235379.78687101734</v>
      </c>
      <c r="AJ46" s="114">
        <f>IF(AJ43&gt;=$B$46,HLOOKUP(AJ43,Advertising!$B$65:$AU$67,2),0)</f>
        <v>247952.25275476548</v>
      </c>
      <c r="AK46" s="114">
        <f>IF(AK43&gt;=$B$46,HLOOKUP(AK43,Advertising!$B$65:$AU$67,2),0)</f>
        <v>260749.48578688537</v>
      </c>
      <c r="AL46" s="114">
        <f>IF(AL43&gt;=$B$46,HLOOKUP(AL43,Advertising!$B$65:$AU$67,2),0)</f>
        <v>288779.13288253197</v>
      </c>
      <c r="AM46" s="114">
        <f>IF(AM43&gt;=$B$46,HLOOKUP(AM43,Advertising!$B$65:$AU$67,2),0)</f>
        <v>302049.8979929763</v>
      </c>
      <c r="AN46" s="114">
        <f>IF(AN43&gt;=$B$46,HLOOKUP(AN43,Advertising!$B$65:$AU$67,2),0)</f>
        <v>320456.06344303017</v>
      </c>
      <c r="AO46" s="114">
        <f>IF(AO43&gt;=$B$46,HLOOKUP(AO43,Advertising!$B$65:$AU$67,2),0)</f>
        <v>354209.18501119054</v>
      </c>
      <c r="AP46" s="114">
        <f>IF(AP43&gt;=$B$46,HLOOKUP(AP43,Advertising!$B$65:$AU$67,2),0)</f>
        <v>388322.48779418611</v>
      </c>
      <c r="AQ46" s="114">
        <f>IF(AQ43&gt;=$B$46,HLOOKUP(AQ43,Advertising!$B$65:$AU$67,2),0)</f>
        <v>406757.28919988172</v>
      </c>
      <c r="AR46" s="114">
        <f>IF(AR43&gt;=$B$46,HLOOKUP(AR43,Advertising!$B$65:$AU$67,2),0)</f>
        <v>440515.74008774583</v>
      </c>
      <c r="AS46" s="114">
        <f>IF(AS43&gt;=$B$46,HLOOKUP(AS43,Advertising!$B$65:$AU$67,2),0)</f>
        <v>459616.6389497011</v>
      </c>
      <c r="AT46" s="114">
        <f>IF(AT43&gt;=$B$46,HLOOKUP(AT43,Advertising!$B$65:$AU$67,2),0)</f>
        <v>494081.51405030175</v>
      </c>
      <c r="AU46" s="114">
        <f>IF(AU43&gt;=$B$46,HLOOKUP(AU43,Advertising!$B$65:$AU$67,2),0)</f>
        <v>513935.03289262834</v>
      </c>
      <c r="AV46" s="114">
        <f>IF(AV43&gt;=$B$46,HLOOKUP(AV43,Advertising!$B$65:$AU$67,2),0)</f>
        <v>549205.47310406622</v>
      </c>
      <c r="AW46" s="114">
        <f>IF(AW43&gt;=$B$46,HLOOKUP(AW43,Advertising!$B$65:$AU$67,2),0)</f>
        <v>569925.26395495259</v>
      </c>
      <c r="AX46" s="114">
        <f>IF(AX43&gt;=$B$46,HLOOKUP(AX43,Advertising!$B$65:$AU$67,2),0)</f>
        <v>606131.60910501773</v>
      </c>
      <c r="AY46" s="114">
        <f>IF(AY43&gt;=$B$46,HLOOKUP(AY43,Advertising!$B$65:$AU$67,2),0)</f>
        <v>642867.20276179432</v>
      </c>
      <c r="AZ46" s="114">
        <f>IF(AZ43&gt;=$B$46,HLOOKUP(AZ43,Advertising!$B$65:$AU$67,2),0)</f>
        <v>668099.61077697587</v>
      </c>
      <c r="BA46" s="114">
        <f>IF(BA43&gt;=$B$46,HLOOKUP(BA43,Advertising!$B$65:$AU$67,2),0)</f>
        <v>709005.185720023</v>
      </c>
      <c r="BB46" s="114">
        <f>IF(BB43&gt;=$B$46,HLOOKUP(BB43,Advertising!$B$65:$AU$67,2),0)</f>
        <v>750648.66761634289</v>
      </c>
      <c r="BC46" s="114">
        <f>IF(BC43&gt;=$B$46,HLOOKUP(BC43,Advertising!$B$65:$AU$67,2),0)</f>
        <v>792301.37762653548</v>
      </c>
      <c r="BD46" s="114">
        <f>IF(BD43&gt;=$B$46,HLOOKUP(BD43,Advertising!$B$65:$AU$67,2),0)</f>
        <v>819811.64530668419</v>
      </c>
      <c r="BE46" s="114">
        <f>IF(BE43&gt;=$B$46,HLOOKUP(BE43,Advertising!$B$65:$AU$67,2),0)</f>
        <v>863276.26508865925</v>
      </c>
      <c r="BF46" s="114">
        <f>IF(BF43&gt;=$B$46,HLOOKUP(BF43,Advertising!$B$65:$AU$67,2),0)</f>
        <v>907806.46416800166</v>
      </c>
      <c r="BG46" s="114">
        <f>IF(BG43&gt;=$B$46,HLOOKUP(BG43,Advertising!$B$65:$AU$67,2),0)</f>
        <v>953530.06741847144</v>
      </c>
      <c r="BH46" s="114">
        <f>IF(BH43&gt;=$B$46,HLOOKUP(BH43,Advertising!$B$65:$AU$67,2),0)</f>
        <v>1000593.9870437835</v>
      </c>
      <c r="BI46" s="114">
        <f>IF(BI43&gt;=$B$46,HLOOKUP(BI43,Advertising!$B$65:$AU$67,2),0)</f>
        <v>1049167.0856770985</v>
      </c>
      <c r="BJ46" s="114">
        <f>IF(BJ43&gt;=$B$46,HLOOKUP(BJ43,Advertising!$B$65:$AU$67,2),0)</f>
        <v>1099443.4689454413</v>
      </c>
    </row>
    <row r="47" spans="1:62" outlineLevel="1" x14ac:dyDescent="0.25">
      <c r="A47" s="1" t="str">
        <f>A7</f>
        <v>BM4 : Sponsoring marketplace</v>
      </c>
      <c r="B47" s="238">
        <f>'Sponsoring marketplace'!B20+1</f>
        <v>44470</v>
      </c>
      <c r="C47" s="140">
        <f>IF(C43&gt;=$B$47,HLOOKUP(C43,'Sponsoring marketplace'!$B$65:$BD$67,2),0)</f>
        <v>0</v>
      </c>
      <c r="D47" s="140">
        <f>IF(D43&gt;=$B$47,HLOOKUP(D43,'Sponsoring marketplace'!$B$65:$BD$67,2),0)</f>
        <v>0</v>
      </c>
      <c r="E47" s="140">
        <f>IF(E43&gt;=$B$47,HLOOKUP(E43,'Sponsoring marketplace'!$B$65:$BD$67,2),0)</f>
        <v>0</v>
      </c>
      <c r="F47" s="140">
        <f>IF(F43&gt;=$B$47,HLOOKUP(F43,'Sponsoring marketplace'!$B$65:$BD$67,2),0)</f>
        <v>0</v>
      </c>
      <c r="G47" s="140">
        <f>IF(G43&gt;=$B$47,HLOOKUP(G43,'Sponsoring marketplace'!$B$65:$BD$67,2),0)</f>
        <v>0</v>
      </c>
      <c r="H47" s="140">
        <f>IF(H43&gt;=$B$47,HLOOKUP(H43,'Sponsoring marketplace'!$B$65:$BD$67,2),0)</f>
        <v>0</v>
      </c>
      <c r="I47" s="140">
        <f>IF(I43&gt;=$B$47,HLOOKUP(I43,'Sponsoring marketplace'!$B$65:$BD$67,2),0)</f>
        <v>0</v>
      </c>
      <c r="J47" s="140">
        <f>IF(J43&gt;=$B$47,HLOOKUP(J43,'Sponsoring marketplace'!$B$65:$BD$67,2),0)</f>
        <v>0</v>
      </c>
      <c r="K47" s="140">
        <f>IF(K43&gt;=$B$47,HLOOKUP(K43,'Sponsoring marketplace'!$B$65:$BD$67,2),0)</f>
        <v>0</v>
      </c>
      <c r="L47" s="140">
        <f>IF(L43&gt;=$B$47,HLOOKUP(L43,'Sponsoring marketplace'!$B$65:$BD$67,2),0)</f>
        <v>0</v>
      </c>
      <c r="M47" s="140">
        <f>IF(M43&gt;=$B$47,HLOOKUP(M43,'Sponsoring marketplace'!$B$65:$BD$67,2),0)</f>
        <v>0</v>
      </c>
      <c r="N47" s="140">
        <f>IF(N43&gt;=$B$47,HLOOKUP(N43,'Sponsoring marketplace'!$B$65:$BD$67,2),0)</f>
        <v>0</v>
      </c>
      <c r="O47" s="140">
        <f>IF(O43&gt;=$B$47,HLOOKUP(O43,'Sponsoring marketplace'!$B$65:$BD$67,2),0)</f>
        <v>0</v>
      </c>
      <c r="P47" s="140">
        <f>IF(P43&gt;=$B$47,HLOOKUP(P43,'Sponsoring marketplace'!$B$65:$BD$67,2),0)</f>
        <v>0</v>
      </c>
      <c r="Q47" s="140">
        <f>IF(Q43&gt;=$B$47,HLOOKUP(Q43,'Sponsoring marketplace'!$B$65:$BD$67,2),0)</f>
        <v>0</v>
      </c>
      <c r="R47" s="140">
        <f>IF(R43&gt;=$B$47,HLOOKUP(R43,'Sponsoring marketplace'!$B$65:$BD$67,2),0)</f>
        <v>0</v>
      </c>
      <c r="S47" s="140">
        <f>IF(S43&gt;=$B$47,HLOOKUP(S43,'Sponsoring marketplace'!$B$65:$BD$67,2),0)</f>
        <v>0</v>
      </c>
      <c r="T47" s="140">
        <f>IF(T43&gt;=$B$47,HLOOKUP(T43,'Sponsoring marketplace'!$B$65:$BD$67,2),0)</f>
        <v>0</v>
      </c>
      <c r="U47" s="140">
        <f>IF(U43&gt;=$B$47,HLOOKUP(U43,'Sponsoring marketplace'!$B$65:$BD$67,2),0)</f>
        <v>0</v>
      </c>
      <c r="V47" s="140">
        <f>IF(V43&gt;=$B$47,HLOOKUP(V43,'Sponsoring marketplace'!$B$65:$BD$67,2),0)</f>
        <v>0</v>
      </c>
      <c r="W47" s="140">
        <f>IF(W43&gt;=$B$47,HLOOKUP(W43,'Sponsoring marketplace'!$B$65:$BD$67,2),0)</f>
        <v>0</v>
      </c>
      <c r="X47" s="140">
        <f>IF(X43&gt;=$B$47,HLOOKUP(X43,'Sponsoring marketplace'!$B$65:$BD$67,2),0)</f>
        <v>0</v>
      </c>
      <c r="Y47" s="140">
        <f>IF(Y43&gt;=$B$47,HLOOKUP(Y43,'Sponsoring marketplace'!$B$65:$BD$67,2),0)</f>
        <v>99086.283798917648</v>
      </c>
      <c r="Z47" s="140">
        <f>IF(Z43&gt;=$B$47,HLOOKUP(Z43,'Sponsoring marketplace'!$B$65:$BD$67,2),0)</f>
        <v>114159.56382674715</v>
      </c>
      <c r="AA47" s="140">
        <f>IF(AA43&gt;=$B$47,HLOOKUP(AA43,'Sponsoring marketplace'!$B$65:$BD$67,2),0)</f>
        <v>134294.23523931252</v>
      </c>
      <c r="AB47" s="140">
        <f>IF(AB43&gt;=$B$47,HLOOKUP(AB43,'Sponsoring marketplace'!$B$65:$BD$67,2),0)</f>
        <v>168059.5155966118</v>
      </c>
      <c r="AC47" s="140">
        <f>IF(AC43&gt;=$B$47,HLOOKUP(AC43,'Sponsoring marketplace'!$B$65:$BD$67,2),0)</f>
        <v>206521.26753586065</v>
      </c>
      <c r="AD47" s="140">
        <f>IF(AD43&gt;=$B$47,HLOOKUP(AD43,'Sponsoring marketplace'!$B$65:$BD$67,2),0)</f>
        <v>250232.72946146387</v>
      </c>
      <c r="AE47" s="140">
        <f>IF(AE43&gt;=$B$47,HLOOKUP(AE43,'Sponsoring marketplace'!$B$65:$BD$67,2),0)</f>
        <v>299808.39259416884</v>
      </c>
      <c r="AF47" s="140">
        <f>IF(AF43&gt;=$B$47,HLOOKUP(AF43,'Sponsoring marketplace'!$B$65:$BD$67,2),0)</f>
        <v>355930.81319036032</v>
      </c>
      <c r="AG47" s="140">
        <f>IF(AG43&gt;=$B$47,HLOOKUP(AG43,'Sponsoring marketplace'!$B$65:$BD$67,2),0)</f>
        <v>419358.24654677999</v>
      </c>
      <c r="AH47" s="140">
        <f>IF(AH43&gt;=$B$47,HLOOKUP(AH43,'Sponsoring marketplace'!$B$65:$BD$67,2),0)</f>
        <v>490933.21986101364</v>
      </c>
      <c r="AI47" s="140">
        <f>IF(AI43&gt;=$B$47,HLOOKUP(AI43,'Sponsoring marketplace'!$B$65:$BD$67,2),0)</f>
        <v>571592.1814891001</v>
      </c>
      <c r="AJ47" s="140">
        <f>IF(AJ43&gt;=$B$47,HLOOKUP(AJ43,'Sponsoring marketplace'!$B$65:$BD$67,2),0)</f>
        <v>662376.38882749714</v>
      </c>
      <c r="AK47" s="140">
        <f>IF(AK43&gt;=$B$47,HLOOKUP(AK43,'Sponsoring marketplace'!$B$65:$BD$67,2),0)</f>
        <v>764444.22689902491</v>
      </c>
      <c r="AL47" s="140">
        <f>IF(AL43&gt;=$B$47,HLOOKUP(AL43,'Sponsoring marketplace'!$B$65:$BD$67,2),0)</f>
        <v>879085.18591699889</v>
      </c>
      <c r="AM47" s="140">
        <f>IF(AM43&gt;=$B$47,HLOOKUP(AM43,'Sponsoring marketplace'!$B$65:$BD$67,2),0)</f>
        <v>1007735.7700919751</v>
      </c>
      <c r="AN47" s="140">
        <f>IF(AN43&gt;=$B$47,HLOOKUP(AN43,'Sponsoring marketplace'!$B$65:$BD$67,2),0)</f>
        <v>1179840.4218584446</v>
      </c>
      <c r="AO47" s="140">
        <f>IF(AO43&gt;=$B$47,HLOOKUP(AO43,'Sponsoring marketplace'!$B$65:$BD$67,2),0)</f>
        <v>1373948.5053374965</v>
      </c>
      <c r="AP47" s="140">
        <f>IF(AP43&gt;=$B$47,HLOOKUP(AP43,'Sponsoring marketplace'!$B$65:$BD$67,2),0)</f>
        <v>1592628.1123506462</v>
      </c>
      <c r="AQ47" s="140">
        <f>IF(AQ43&gt;=$B$47,HLOOKUP(AQ43,'Sponsoring marketplace'!$B$65:$BD$67,2),0)</f>
        <v>1838747.6519174424</v>
      </c>
      <c r="AR47" s="140">
        <f>IF(AR43&gt;=$B$47,HLOOKUP(AR43,'Sponsoring marketplace'!$B$65:$BD$67,2),0)</f>
        <v>2115514.3190563321</v>
      </c>
      <c r="AS47" s="140">
        <f>IF(AS43&gt;=$B$47,HLOOKUP(AS43,'Sponsoring marketplace'!$B$65:$BD$67,2),0)</f>
        <v>2426518.4179661167</v>
      </c>
      <c r="AT47" s="140">
        <f>IF(AT43&gt;=$B$47,HLOOKUP(AT43,'Sponsoring marketplace'!$B$65:$BD$67,2),0)</f>
        <v>2775784.6194899227</v>
      </c>
      <c r="AU47" s="140">
        <f>IF(AU43&gt;=$B$47,HLOOKUP(AU43,'Sponsoring marketplace'!$B$65:$BD$67,2),0)</f>
        <v>3167831.4620767082</v>
      </c>
      <c r="AV47" s="140">
        <f>IF(AV43&gt;=$B$47,HLOOKUP(AV43,'Sponsoring marketplace'!$B$65:$BD$67,2),0)</f>
        <v>3607740.687275447</v>
      </c>
      <c r="AW47" s="140">
        <f>IF(AW43&gt;=$B$47,HLOOKUP(AW43,'Sponsoring marketplace'!$B$65:$BD$67,2),0)</f>
        <v>4101238.3475562567</v>
      </c>
      <c r="AX47" s="140">
        <f>IF(AX43&gt;=$B$47,HLOOKUP(AX43,'Sponsoring marketplace'!$B$65:$BD$67,2),0)</f>
        <v>4654790.0513669001</v>
      </c>
      <c r="AY47" s="140">
        <f>IF(AY43&gt;=$B$47,HLOOKUP(AY43,'Sponsoring marketplace'!$B$65:$BD$67,2),0)</f>
        <v>5275713.2369216103</v>
      </c>
      <c r="AZ47" s="140">
        <f>IF(AZ43&gt;=$B$47,HLOOKUP(AZ43,'Sponsoring marketplace'!$B$65:$BD$67,2),0)</f>
        <v>6014377.6971954601</v>
      </c>
      <c r="BA47" s="140">
        <f>IF(BA43&gt;=$B$47,HLOOKUP(BA43,'Sponsoring marketplace'!$B$65:$BD$67,2),0)</f>
        <v>6845117.1581038237</v>
      </c>
      <c r="BB47" s="140">
        <f>IF(BB43&gt;=$B$47,HLOOKUP(BB43,'Sponsoring marketplace'!$B$65:$BD$67,2),0)</f>
        <v>7779568.5478020655</v>
      </c>
      <c r="BC47" s="140">
        <f>IF(BC43&gt;=$B$47,HLOOKUP(BC43,'Sponsoring marketplace'!$B$65:$BD$67,2),0)</f>
        <v>8831034.9149390403</v>
      </c>
      <c r="BD47" s="140">
        <f>IF(BD43&gt;=$B$47,HLOOKUP(BD43,'Sponsoring marketplace'!$B$65:$BD$67,2),0)</f>
        <v>10014722.056912456</v>
      </c>
      <c r="BE47" s="140">
        <f>IF(BE43&gt;=$B$47,HLOOKUP(BE43,'Sponsoring marketplace'!$B$65:$BD$67,2),0)</f>
        <v>11348112.791808583</v>
      </c>
      <c r="BF47" s="140">
        <f>IF(BF43&gt;=$B$47,HLOOKUP(BF43,'Sponsoring marketplace'!$B$65:$BD$67,2),0)</f>
        <v>12851358.59899882</v>
      </c>
      <c r="BG47" s="140">
        <f>IF(BG43&gt;=$B$47,HLOOKUP(BG43,'Sponsoring marketplace'!$B$65:$BD$67,2),0)</f>
        <v>14547766.608453555</v>
      </c>
      <c r="BH47" s="140">
        <f>IF(BH43&gt;=$B$47,HLOOKUP(BH43,'Sponsoring marketplace'!$B$65:$BD$67,2),0)</f>
        <v>16464388.885447163</v>
      </c>
      <c r="BI47" s="140">
        <f>IF(BI43&gt;=$B$47,HLOOKUP(BI43,'Sponsoring marketplace'!$B$65:$BD$67,2),0)</f>
        <v>18632737.282329727</v>
      </c>
      <c r="BJ47" s="140">
        <f>IF(BJ43&gt;=$B$47,HLOOKUP(BJ43,'Sponsoring marketplace'!$B$65:$BD$67,2),0)</f>
        <v>21089652.622028783</v>
      </c>
    </row>
    <row r="48" spans="1:62" outlineLevel="1" x14ac:dyDescent="0.25">
      <c r="A48" s="1" t="str">
        <f>A8</f>
        <v>BM5 : Digital goods marketplace</v>
      </c>
      <c r="B48" s="238">
        <f>'Digital goods marketplace'!B20+2</f>
        <v>44716</v>
      </c>
      <c r="C48" s="140">
        <f>IF(C43&gt;=$B$48,HLOOKUP(C43,'Digital goods marketplace'!$B$64:$BD$66,2),0)</f>
        <v>0</v>
      </c>
      <c r="D48" s="140">
        <f>IF(D43&gt;=$B$48,HLOOKUP(D43,'Digital goods marketplace'!$B$64:$BD$66,2),0)</f>
        <v>0</v>
      </c>
      <c r="E48" s="140">
        <f>IF(E43&gt;=$B$48,HLOOKUP(E43,'Digital goods marketplace'!$B$64:$BD$66,2),0)</f>
        <v>0</v>
      </c>
      <c r="F48" s="140">
        <f>IF(F43&gt;=$B$48,HLOOKUP(F43,'Digital goods marketplace'!$B$64:$BD$66,2),0)</f>
        <v>0</v>
      </c>
      <c r="G48" s="140">
        <f>IF(G43&gt;=$B$48,HLOOKUP(G43,'Digital goods marketplace'!$B$64:$BD$66,2),0)</f>
        <v>0</v>
      </c>
      <c r="H48" s="140">
        <f>IF(H43&gt;=$B$48,HLOOKUP(H43,'Digital goods marketplace'!$B$64:$BD$66,2),0)</f>
        <v>0</v>
      </c>
      <c r="I48" s="140">
        <f>IF(I43&gt;=$B$48,HLOOKUP(I43,'Digital goods marketplace'!$B$64:$BD$66,2),0)</f>
        <v>0</v>
      </c>
      <c r="J48" s="140">
        <f>IF(J43&gt;=$B$48,HLOOKUP(J43,'Digital goods marketplace'!$B$64:$BD$66,2),0)</f>
        <v>0</v>
      </c>
      <c r="K48" s="140">
        <f>IF(K43&gt;=$B$48,HLOOKUP(K43,'Digital goods marketplace'!$B$64:$BD$66,2),0)</f>
        <v>0</v>
      </c>
      <c r="L48" s="140">
        <f>IF(L43&gt;=$B$48,HLOOKUP(L43,'Digital goods marketplace'!$B$64:$BD$66,2),0)</f>
        <v>0</v>
      </c>
      <c r="M48" s="140">
        <f>IF(M43&gt;=$B$48,HLOOKUP(M43,'Digital goods marketplace'!$B$64:$BD$66,2),0)</f>
        <v>0</v>
      </c>
      <c r="N48" s="140">
        <f>IF(N43&gt;=$B$48,HLOOKUP(N43,'Digital goods marketplace'!$B$64:$BD$66,2),0)</f>
        <v>0</v>
      </c>
      <c r="O48" s="140">
        <f>IF(O43&gt;=$B$48,HLOOKUP(O43,'Digital goods marketplace'!$B$64:$BD$66,2),0)</f>
        <v>0</v>
      </c>
      <c r="P48" s="140">
        <f>IF(P43&gt;=$B$48,HLOOKUP(P43,'Digital goods marketplace'!$B$64:$BD$66,2),0)</f>
        <v>0</v>
      </c>
      <c r="Q48" s="140">
        <f>IF(Q43&gt;=$B$48,HLOOKUP(Q43,'Digital goods marketplace'!$B$64:$BD$66,2),0)</f>
        <v>0</v>
      </c>
      <c r="R48" s="140">
        <f>IF(R43&gt;=$B$48,HLOOKUP(R43,'Digital goods marketplace'!$B$64:$BD$66,2),0)</f>
        <v>0</v>
      </c>
      <c r="S48" s="140">
        <f>IF(S43&gt;=$B$48,HLOOKUP(S43,'Digital goods marketplace'!$B$64:$BD$66,2),0)</f>
        <v>0</v>
      </c>
      <c r="T48" s="140">
        <f>IF(T43&gt;=$B$48,HLOOKUP(T43,'Digital goods marketplace'!$B$64:$BD$66,2),0)</f>
        <v>0</v>
      </c>
      <c r="U48" s="140">
        <f>IF(U43&gt;=$B$48,HLOOKUP(U43,'Digital goods marketplace'!$B$64:$BD$66,2),0)</f>
        <v>0</v>
      </c>
      <c r="V48" s="140">
        <f>IF(V43&gt;=$B$48,HLOOKUP(V43,'Digital goods marketplace'!$B$64:$BD$66,2),0)</f>
        <v>0</v>
      </c>
      <c r="W48" s="140">
        <f>IF(W43&gt;=$B$48,HLOOKUP(W43,'Digital goods marketplace'!$B$64:$BD$66,2),0)</f>
        <v>0</v>
      </c>
      <c r="X48" s="140">
        <f>IF(X43&gt;=$B$48,HLOOKUP(X43,'Digital goods marketplace'!$B$64:$BD$66,2),0)</f>
        <v>0</v>
      </c>
      <c r="Y48" s="140">
        <f>IF(Y43&gt;=$B$48,HLOOKUP(Y43,'Digital goods marketplace'!$B$64:$BD$66,2),0)</f>
        <v>0</v>
      </c>
      <c r="Z48" s="140">
        <f>IF(Z43&gt;=$B$48,HLOOKUP(Z43,'Digital goods marketplace'!$B$64:$BD$66,2),0)</f>
        <v>0</v>
      </c>
      <c r="AA48" s="140">
        <f>IF(AA43&gt;=$B$48,HLOOKUP(AA43,'Digital goods marketplace'!$B$64:$BD$66,2),0)</f>
        <v>0</v>
      </c>
      <c r="AB48" s="140">
        <f>IF(AB43&gt;=$B$48,HLOOKUP(AB43,'Digital goods marketplace'!$B$64:$BD$66,2),0)</f>
        <v>0</v>
      </c>
      <c r="AC48" s="140">
        <f>IF(AC43&gt;=$B$48,HLOOKUP(AC43,'Digital goods marketplace'!$B$64:$BD$66,2),0)</f>
        <v>0</v>
      </c>
      <c r="AD48" s="140">
        <f>IF(AD43&gt;=$B$48,HLOOKUP(AD43,'Digital goods marketplace'!$B$64:$BD$66,2),0)</f>
        <v>0</v>
      </c>
      <c r="AE48" s="140">
        <f>IF(AE43&gt;=$B$48,HLOOKUP(AE43,'Digital goods marketplace'!$B$64:$BD$66,2),0)</f>
        <v>0</v>
      </c>
      <c r="AF48" s="140">
        <f>IF(AF43&gt;=$B$48,HLOOKUP(AF43,'Digital goods marketplace'!$B$64:$BD$66,2),0)</f>
        <v>0</v>
      </c>
      <c r="AG48" s="140">
        <f>IF(AG43&gt;=$B$48,HLOOKUP(AG43,'Digital goods marketplace'!$B$64:$BD$66,2),0)</f>
        <v>185589.77540307722</v>
      </c>
      <c r="AH48" s="140">
        <f>IF(AH43&gt;=$B$48,HLOOKUP(AH43,'Digital goods marketplace'!$B$64:$BD$66,2),0)</f>
        <v>189301.57091113881</v>
      </c>
      <c r="AI48" s="140">
        <f>IF(AI43&gt;=$B$48,HLOOKUP(AI43,'Digital goods marketplace'!$B$64:$BD$66,2),0)</f>
        <v>193087.6023293616</v>
      </c>
      <c r="AJ48" s="140">
        <f>IF(AJ43&gt;=$B$48,HLOOKUP(AJ43,'Digital goods marketplace'!$B$64:$BD$66,2),0)</f>
        <v>196949.35437594881</v>
      </c>
      <c r="AK48" s="140">
        <f>IF(AK43&gt;=$B$48,HLOOKUP(AK43,'Digital goods marketplace'!$B$64:$BD$66,2),0)</f>
        <v>200888.34146346775</v>
      </c>
      <c r="AL48" s="140">
        <f>IF(AL43&gt;=$B$48,HLOOKUP(AL43,'Digital goods marketplace'!$B$64:$BD$66,2),0)</f>
        <v>204906.10829273707</v>
      </c>
      <c r="AM48" s="140">
        <f>IF(AM43&gt;=$B$48,HLOOKUP(AM43,'Digital goods marketplace'!$B$64:$BD$66,2),0)</f>
        <v>209004.23045859183</v>
      </c>
      <c r="AN48" s="140">
        <f>IF(AN43&gt;=$B$48,HLOOKUP(AN43,'Digital goods marketplace'!$B$64:$BD$66,2),0)</f>
        <v>213184.3150677637</v>
      </c>
      <c r="AO48" s="140">
        <f>IF(AO43&gt;=$B$48,HLOOKUP(AO43,'Digital goods marketplace'!$B$64:$BD$66,2),0)</f>
        <v>217448.00136911898</v>
      </c>
      <c r="AP48" s="140">
        <f>IF(AP43&gt;=$B$48,HLOOKUP(AP43,'Digital goods marketplace'!$B$64:$BD$66,2),0)</f>
        <v>221796.96139650137</v>
      </c>
      <c r="AQ48" s="140">
        <f>IF(AQ43&gt;=$B$48,HLOOKUP(AQ43,'Digital goods marketplace'!$B$64:$BD$66,2),0)</f>
        <v>226232.90062443138</v>
      </c>
      <c r="AR48" s="140">
        <f>IF(AR43&gt;=$B$48,HLOOKUP(AR43,'Digital goods marketplace'!$B$64:$BD$66,2),0)</f>
        <v>230757.55863692</v>
      </c>
      <c r="AS48" s="140">
        <f>IF(AS43&gt;=$B$48,HLOOKUP(AS43,'Digital goods marketplace'!$B$64:$BD$66,2),0)</f>
        <v>235372.70980965841</v>
      </c>
      <c r="AT48" s="140">
        <f>IF(AT43&gt;=$B$48,HLOOKUP(AT43,'Digital goods marketplace'!$B$64:$BD$66,2),0)</f>
        <v>240080.16400585158</v>
      </c>
      <c r="AU48" s="140">
        <f>IF(AU43&gt;=$B$48,HLOOKUP(AU43,'Digital goods marketplace'!$B$64:$BD$66,2),0)</f>
        <v>244881.76728596858</v>
      </c>
      <c r="AV48" s="140">
        <f>IF(AV43&gt;=$B$48,HLOOKUP(AV43,'Digital goods marketplace'!$B$64:$BD$66,2),0)</f>
        <v>249779.40263168796</v>
      </c>
      <c r="AW48" s="140">
        <f>IF(AW43&gt;=$B$48,HLOOKUP(AW43,'Digital goods marketplace'!$B$64:$BD$66,2),0)</f>
        <v>254774.9906843217</v>
      </c>
      <c r="AX48" s="140">
        <f>IF(AX43&gt;=$B$48,HLOOKUP(AX43,'Digital goods marketplace'!$B$64:$BD$66,2),0)</f>
        <v>259870.49049800815</v>
      </c>
      <c r="AY48" s="140">
        <f>IF(AY43&gt;=$B$48,HLOOKUP(AY43,'Digital goods marketplace'!$B$64:$BD$66,2),0)</f>
        <v>265067.90030796826</v>
      </c>
      <c r="AZ48" s="140">
        <f>IF(AZ43&gt;=$B$48,HLOOKUP(AZ43,'Digital goods marketplace'!$B$64:$BD$66,2),0)</f>
        <v>270369.25831412768</v>
      </c>
      <c r="BA48" s="140">
        <f>IF(BA43&gt;=$B$48,HLOOKUP(BA43,'Digital goods marketplace'!$B$64:$BD$66,2),0)</f>
        <v>275776.64348041022</v>
      </c>
      <c r="BB48" s="140">
        <f>IF(BB43&gt;=$B$48,HLOOKUP(BB43,'Digital goods marketplace'!$B$64:$BD$66,2),0)</f>
        <v>281292.17635001848</v>
      </c>
      <c r="BC48" s="140">
        <f>IF(BC43&gt;=$B$48,HLOOKUP(BC43,'Digital goods marketplace'!$B$64:$BD$66,2),0)</f>
        <v>286918.01987701881</v>
      </c>
      <c r="BD48" s="140">
        <f>IF(BD43&gt;=$B$48,HLOOKUP(BD43,'Digital goods marketplace'!$B$64:$BD$66,2),0)</f>
        <v>292656.3802745592</v>
      </c>
      <c r="BE48" s="140">
        <f>IF(BE43&gt;=$B$48,HLOOKUP(BE43,'Digital goods marketplace'!$B$64:$BD$66,2),0)</f>
        <v>298509.5078800504</v>
      </c>
      <c r="BF48" s="140">
        <f>IF(BF43&gt;=$B$48,HLOOKUP(BF43,'Digital goods marketplace'!$B$64:$BD$66,2),0)</f>
        <v>304479.69803765143</v>
      </c>
      <c r="BG48" s="140">
        <f>IF(BG43&gt;=$B$48,HLOOKUP(BG43,'Digital goods marketplace'!$B$64:$BD$66,2),0)</f>
        <v>310569.29199840443</v>
      </c>
      <c r="BH48" s="140">
        <f>IF(BH43&gt;=$B$48,HLOOKUP(BH43,'Digital goods marketplace'!$B$64:$BD$66,2),0)</f>
        <v>316780.67783837253</v>
      </c>
      <c r="BI48" s="140">
        <f>IF(BI43&gt;=$B$48,HLOOKUP(BI43,'Digital goods marketplace'!$B$64:$BD$66,2),0)</f>
        <v>323116.29139513994</v>
      </c>
      <c r="BJ48" s="140">
        <f>IF(BJ43&gt;=$B$48,HLOOKUP(BJ43,'Digital goods marketplace'!$B$64:$BD$66,2),0)</f>
        <v>329578.61722304276</v>
      </c>
    </row>
    <row r="49" spans="1:62" outlineLevel="1" x14ac:dyDescent="0.25">
      <c r="A49" s="1" t="str">
        <f>A9</f>
        <v>BM6 : Media rights marketplace</v>
      </c>
      <c r="B49" s="458">
        <f>'Media rights marketplace'!I21</f>
        <v>44805</v>
      </c>
      <c r="C49" s="142">
        <f>IF(C43&gt;=$B$49,HLOOKUP(C43,'Media rights marketplace'!$B$65:$BD$67,3),0)</f>
        <v>0</v>
      </c>
      <c r="D49" s="142">
        <f>IF(D43&gt;=$B$49,HLOOKUP(D43,'Media rights marketplace'!$B$65:$BD$67,3),0)</f>
        <v>0</v>
      </c>
      <c r="E49" s="142">
        <f>IF(E43&gt;=$B$49,HLOOKUP(E43,'Media rights marketplace'!$B$65:$BD$67,3),0)</f>
        <v>0</v>
      </c>
      <c r="F49" s="142">
        <f>IF(F43&gt;=$B$49,HLOOKUP(F43,'Media rights marketplace'!$B$65:$BD$67,3),0)</f>
        <v>0</v>
      </c>
      <c r="G49" s="142">
        <f>IF(G43&gt;=$B$49,HLOOKUP(G43,'Media rights marketplace'!$B$65:$BD$67,3),0)</f>
        <v>0</v>
      </c>
      <c r="H49" s="142">
        <f>IF(H43&gt;=$B$49,HLOOKUP(H43,'Media rights marketplace'!$B$65:$BD$67,3),0)</f>
        <v>0</v>
      </c>
      <c r="I49" s="142">
        <f>IF(I43&gt;=$B$49,HLOOKUP(I43,'Media rights marketplace'!$B$65:$BD$67,3),0)</f>
        <v>0</v>
      </c>
      <c r="J49" s="142">
        <f>IF(J43&gt;=$B$49,HLOOKUP(J43,'Media rights marketplace'!$B$65:$BD$67,3),0)</f>
        <v>0</v>
      </c>
      <c r="K49" s="142">
        <f>IF(K43&gt;=$B$49,HLOOKUP(K43,'Media rights marketplace'!$B$65:$BD$67,3),0)</f>
        <v>0</v>
      </c>
      <c r="L49" s="142">
        <f>IF(L43&gt;=$B$49,HLOOKUP(L43,'Media rights marketplace'!$B$65:$BD$67,3),0)</f>
        <v>0</v>
      </c>
      <c r="M49" s="142">
        <f>IF(M43&gt;=$B$49,HLOOKUP(M43,'Media rights marketplace'!$B$65:$BD$67,3),0)</f>
        <v>0</v>
      </c>
      <c r="N49" s="142">
        <f>IF(N43&gt;=$B$49,HLOOKUP(N43,'Media rights marketplace'!$B$65:$BD$67,3),0)</f>
        <v>0</v>
      </c>
      <c r="O49" s="142">
        <f>IF(O43&gt;=$B$49,HLOOKUP(O43,'Media rights marketplace'!$B$65:$BD$67,3),0)</f>
        <v>0</v>
      </c>
      <c r="P49" s="142">
        <f>IF(P43&gt;=$B$49,HLOOKUP(P43,'Media rights marketplace'!$B$65:$BD$67,3),0)</f>
        <v>0</v>
      </c>
      <c r="Q49" s="142">
        <f>IF(Q43&gt;=$B$49,HLOOKUP(Q43,'Media rights marketplace'!$B$65:$BD$67,3),0)</f>
        <v>0</v>
      </c>
      <c r="R49" s="142">
        <f>IF(R43&gt;=$B$49,HLOOKUP(R43,'Media rights marketplace'!$B$65:$BD$67,3),0)</f>
        <v>0</v>
      </c>
      <c r="S49" s="142">
        <f>IF(S43&gt;=$B$49,HLOOKUP(S43,'Media rights marketplace'!$B$65:$BD$67,3),0)</f>
        <v>0</v>
      </c>
      <c r="T49" s="142">
        <f>IF(T43&gt;=$B$49,HLOOKUP(T43,'Media rights marketplace'!$B$65:$BD$67,3),0)</f>
        <v>0</v>
      </c>
      <c r="U49" s="142">
        <f>IF(U43&gt;=$B$49,HLOOKUP(U43,'Media rights marketplace'!$B$65:$BD$67,3),0)</f>
        <v>0</v>
      </c>
      <c r="V49" s="142">
        <f>IF(V43&gt;=$B$49,HLOOKUP(V43,'Media rights marketplace'!$B$65:$BD$67,3),0)</f>
        <v>0</v>
      </c>
      <c r="W49" s="142">
        <f>IF(W43&gt;=$B$49,HLOOKUP(W43,'Media rights marketplace'!$B$65:$BD$67,3),0)</f>
        <v>0</v>
      </c>
      <c r="X49" s="142">
        <f>IF(X43&gt;=$B$49,HLOOKUP(X43,'Media rights marketplace'!$B$65:$BD$67,3),0)</f>
        <v>0</v>
      </c>
      <c r="Y49" s="142">
        <f>IF(Y43&gt;=$B$49,HLOOKUP(Y43,'Media rights marketplace'!$B$65:$BD$67,3),0)</f>
        <v>0</v>
      </c>
      <c r="Z49" s="142">
        <f>IF(Z43&gt;=$B$49,HLOOKUP(Z43,'Media rights marketplace'!$B$65:$BD$67,3),0)</f>
        <v>0</v>
      </c>
      <c r="AA49" s="142">
        <f>IF(AA43&gt;=$B$49,HLOOKUP(AA43,'Media rights marketplace'!$B$65:$BD$67,3),0)</f>
        <v>0</v>
      </c>
      <c r="AB49" s="142">
        <f>IF(AB43&gt;=$B$49,HLOOKUP(AB43,'Media rights marketplace'!$B$65:$BD$67,3),0)</f>
        <v>0</v>
      </c>
      <c r="AC49" s="142">
        <f>IF(AC43&gt;=$B$49,HLOOKUP(AC43,'Media rights marketplace'!$B$65:$BD$67,3),0)</f>
        <v>0</v>
      </c>
      <c r="AD49" s="142">
        <f>IF(AD43&gt;=$B$49,HLOOKUP(AD43,'Media rights marketplace'!$B$65:$BD$67,3),0)</f>
        <v>0</v>
      </c>
      <c r="AE49" s="142">
        <f>IF(AE43&gt;=$B$49,HLOOKUP(AE43,'Media rights marketplace'!$B$65:$BD$67,3),0)</f>
        <v>0</v>
      </c>
      <c r="AF49" s="142">
        <f>IF(AF43&gt;=$B$49,HLOOKUP(AF43,'Media rights marketplace'!$B$65:$BD$67,3),0)</f>
        <v>0</v>
      </c>
      <c r="AG49" s="142">
        <f>IF(AG43&gt;=$B$49,HLOOKUP(AG43,'Media rights marketplace'!$B$65:$BD$67,3),0)</f>
        <v>0</v>
      </c>
      <c r="AH49" s="142">
        <f>IF(AH43&gt;=$B$49,HLOOKUP(AH43,'Media rights marketplace'!$B$65:$BD$67,3),0)</f>
        <v>0</v>
      </c>
      <c r="AI49" s="142">
        <f>IF(AI43&gt;=$B$49,HLOOKUP(AI43,'Media rights marketplace'!$B$65:$BD$67,3),0)</f>
        <v>0</v>
      </c>
      <c r="AJ49" s="142">
        <f>IF(AJ43&gt;=$B$49,HLOOKUP(AJ43,'Media rights marketplace'!$B$65:$BD$67,3),0)</f>
        <v>92961.346948005157</v>
      </c>
      <c r="AK49" s="142">
        <f>IF(AK43&gt;=$B$49,HLOOKUP(AK43,'Media rights marketplace'!$B$65:$BD$67,3),0)</f>
        <v>99338.961225814055</v>
      </c>
      <c r="AL49" s="142">
        <f>IF(AL43&gt;=$B$49,HLOOKUP(AL43,'Media rights marketplace'!$B$65:$BD$67,3),0)</f>
        <v>105774.50829653205</v>
      </c>
      <c r="AM49" s="142">
        <f>IF(AM43&gt;=$B$49,HLOOKUP(AM43,'Media rights marketplace'!$B$65:$BD$67,3),0)</f>
        <v>112272.39121221373</v>
      </c>
      <c r="AN49" s="142">
        <f>IF(AN43&gt;=$B$49,HLOOKUP(AN43,'Media rights marketplace'!$B$65:$BD$67,3),0)</f>
        <v>121709.87429350024</v>
      </c>
      <c r="AO49" s="142">
        <f>IF(AO43&gt;=$B$49,HLOOKUP(AO43,'Media rights marketplace'!$B$65:$BD$67,3),0)</f>
        <v>131234.86932222793</v>
      </c>
      <c r="AP49" s="142">
        <f>IF(AP43&gt;=$B$49,HLOOKUP(AP43,'Media rights marketplace'!$B$65:$BD$67,3),0)</f>
        <v>140854.0727901904</v>
      </c>
      <c r="AQ49" s="142">
        <f>IF(AQ43&gt;=$B$49,HLOOKUP(AQ43,'Media rights marketplace'!$B$65:$BD$67,3),0)</f>
        <v>150575.18566295024</v>
      </c>
      <c r="AR49" s="142">
        <f>IF(AR43&gt;=$B$49,HLOOKUP(AR43,'Media rights marketplace'!$B$65:$BD$67,3),0)</f>
        <v>160407.06405090442</v>
      </c>
      <c r="AS49" s="142">
        <f>IF(AS43&gt;=$B$49,HLOOKUP(AS43,'Media rights marketplace'!$B$65:$BD$67,3),0)</f>
        <v>170359.89248100927</v>
      </c>
      <c r="AT49" s="142">
        <f>IF(AT43&gt;=$B$49,HLOOKUP(AT43,'Media rights marketplace'!$B$65:$BD$67,3),0)</f>
        <v>180445.3831592651</v>
      </c>
      <c r="AU49" s="142">
        <f>IF(AU43&gt;=$B$49,HLOOKUP(AU43,'Media rights marketplace'!$B$65:$BD$67,3),0)</f>
        <v>190677.00512257166</v>
      </c>
      <c r="AV49" s="142">
        <f>IF(AV43&gt;=$B$49,HLOOKUP(AV43,'Media rights marketplace'!$B$65:$BD$67,3),0)</f>
        <v>201070.24776336396</v>
      </c>
      <c r="AW49" s="142">
        <f>IF(AW43&gt;=$B$49,HLOOKUP(AW43,'Media rights marketplace'!$B$65:$BD$67,3),0)</f>
        <v>211642.92388294227</v>
      </c>
      <c r="AX49" s="142">
        <f>IF(AX43&gt;=$B$49,HLOOKUP(AX43,'Media rights marketplace'!$B$65:$BD$67,3),0)</f>
        <v>222415.51820280185</v>
      </c>
      <c r="AY49" s="142">
        <f>IF(AY43&gt;=$B$49,HLOOKUP(AY43,'Media rights marketplace'!$B$65:$BD$67,3),0)</f>
        <v>233411.58815266221</v>
      </c>
      <c r="AZ49" s="142">
        <f>IF(AZ43&gt;=$B$49,HLOOKUP(AZ43,'Media rights marketplace'!$B$65:$BD$67,3),0)</f>
        <v>246381.54526316791</v>
      </c>
      <c r="BA49" s="142">
        <f>IF(BA43&gt;=$B$49,HLOOKUP(BA43,'Media rights marketplace'!$B$65:$BD$67,3),0)</f>
        <v>259641.79748241947</v>
      </c>
      <c r="BB49" s="142">
        <f>IF(BB43&gt;=$B$49,HLOOKUP(BB43,'Media rights marketplace'!$B$65:$BD$67,3),0)</f>
        <v>273228.17271634162</v>
      </c>
      <c r="BC49" s="142">
        <f>IF(BC43&gt;=$B$49,HLOOKUP(BC43,'Media rights marketplace'!$B$65:$BD$67,3),0)</f>
        <v>287182.39442496339</v>
      </c>
      <c r="BD49" s="142">
        <f>IF(BD43&gt;=$B$49,HLOOKUP(BD43,'Media rights marketplace'!$B$65:$BD$67,3),0)</f>
        <v>301551.40444475872</v>
      </c>
      <c r="BE49" s="142">
        <f>IF(BE43&gt;=$B$49,HLOOKUP(BE43,'Media rights marketplace'!$B$65:$BD$67,3),0)</f>
        <v>316389.70466201636</v>
      </c>
      <c r="BF49" s="142">
        <f>IF(BF43&gt;=$B$49,HLOOKUP(BF43,'Media rights marketplace'!$B$65:$BD$67,3),0)</f>
        <v>331759.9722459687</v>
      </c>
      <c r="BG49" s="142">
        <f>IF(BG43&gt;=$B$49,HLOOKUP(BG43,'Media rights marketplace'!$B$65:$BD$67,3),0)</f>
        <v>347734.28594123269</v>
      </c>
      <c r="BH49" s="142">
        <f>IF(BH43&gt;=$B$49,HLOOKUP(BH43,'Media rights marketplace'!$B$65:$BD$67,3),0)</f>
        <v>364395.53630411788</v>
      </c>
      <c r="BI49" s="142">
        <f>IF(BI43&gt;=$B$49,HLOOKUP(BI43,'Media rights marketplace'!$B$65:$BD$67,3),0)</f>
        <v>381839.04747438023</v>
      </c>
      <c r="BJ49" s="142">
        <f>IF(BJ43&gt;=$B$49,HLOOKUP(BJ43,'Media rights marketplace'!$B$65:$BD$67,3),0)</f>
        <v>400174.44221273926</v>
      </c>
    </row>
    <row r="50" spans="1:62" s="53" customFormat="1" outlineLevel="1" x14ac:dyDescent="0.25">
      <c r="A50" s="53" t="str">
        <f>H33</f>
        <v>BM7 : Titrisation</v>
      </c>
      <c r="B50" s="458">
        <f>Titrisation!I21</f>
        <v>44559</v>
      </c>
      <c r="C50" s="142">
        <f>IF(C43&gt;=$B$50,HLOOKUP(C43,Titrisation!$B$65:$BD$66,2),0)</f>
        <v>0</v>
      </c>
      <c r="D50" s="142">
        <f>IF(D43&gt;=$B$50,HLOOKUP(D43,Titrisation!$B$65:$BD$66,2),0)</f>
        <v>0</v>
      </c>
      <c r="E50" s="142">
        <f>IF(E43&gt;=$B$50,HLOOKUP(E43,Titrisation!$B$65:$BD$66,2),0)</f>
        <v>0</v>
      </c>
      <c r="F50" s="142">
        <f>IF(F43&gt;=$B$50,HLOOKUP(F43,Titrisation!$B$65:$BD$66,2),0)</f>
        <v>0</v>
      </c>
      <c r="G50" s="142">
        <f>IF(G43&gt;=$B$50,HLOOKUP(G43,Titrisation!$B$65:$BD$66,2),0)</f>
        <v>0</v>
      </c>
      <c r="H50" s="142">
        <f>IF(H43&gt;=$B$50,HLOOKUP(H43,Titrisation!$B$65:$BD$66,2),0)</f>
        <v>0</v>
      </c>
      <c r="I50" s="142">
        <f>IF(I43&gt;=$B$50,HLOOKUP(I43,Titrisation!$B$65:$BD$66,2),0)</f>
        <v>0</v>
      </c>
      <c r="J50" s="142">
        <f>IF(J43&gt;=$B$50,HLOOKUP(J43,Titrisation!$B$65:$BD$66,2),0)</f>
        <v>0</v>
      </c>
      <c r="K50" s="142">
        <f>IF(K43&gt;=$B$50,HLOOKUP(K43,Titrisation!$B$65:$BD$66,2),0)</f>
        <v>0</v>
      </c>
      <c r="L50" s="142">
        <f>IF(L43&gt;=$B$50,HLOOKUP(L43,Titrisation!$B$65:$BD$66,2),0)</f>
        <v>0</v>
      </c>
      <c r="M50" s="142">
        <f>IF(M43&gt;=$B$50,HLOOKUP(M43,Titrisation!$B$65:$BD$66,2),0)</f>
        <v>0</v>
      </c>
      <c r="N50" s="142">
        <f>IF(N43&gt;=$B$50,HLOOKUP(N43,Titrisation!$B$65:$BD$66,2),0)</f>
        <v>0</v>
      </c>
      <c r="O50" s="142">
        <f>IF(O43&gt;=$B$50,HLOOKUP(O43,Titrisation!$B$65:$BD$66,2),0)</f>
        <v>0</v>
      </c>
      <c r="P50" s="142">
        <f>IF(P43&gt;=$B$50,HLOOKUP(P43,Titrisation!$B$65:$BD$66,2),0)</f>
        <v>0</v>
      </c>
      <c r="Q50" s="142">
        <f>IF(Q43&gt;=$B$50,HLOOKUP(Q43,Titrisation!$B$65:$BD$66,2),0)</f>
        <v>0</v>
      </c>
      <c r="R50" s="142">
        <f>IF(R43&gt;=$B$50,HLOOKUP(R43,Titrisation!$B$65:$BD$66,2),0)</f>
        <v>0</v>
      </c>
      <c r="S50" s="142">
        <f>IF(S43&gt;=$B$50,HLOOKUP(S43,Titrisation!$B$65:$BD$66,2),0)</f>
        <v>0</v>
      </c>
      <c r="T50" s="142">
        <f>IF(T43&gt;=$B$50,HLOOKUP(T43,Titrisation!$B$65:$BD$66,2),0)</f>
        <v>0</v>
      </c>
      <c r="U50" s="142">
        <f>IF(U43&gt;=$B$50,HLOOKUP(U43,Titrisation!$B$65:$BD$66,2),0)</f>
        <v>0</v>
      </c>
      <c r="V50" s="142">
        <f>IF(V43&gt;=$B$50,HLOOKUP(V43,Titrisation!$B$65:$BD$66,2),0)</f>
        <v>0</v>
      </c>
      <c r="W50" s="142">
        <f>IF(W43&gt;=$B$50,HLOOKUP(W43,Titrisation!$B$65:$BD$66,2),0)</f>
        <v>0</v>
      </c>
      <c r="X50" s="142">
        <f>IF(X43&gt;=$B$50,HLOOKUP(X43,Titrisation!$B$65:$BD$66,2),0)</f>
        <v>0</v>
      </c>
      <c r="Y50" s="142">
        <f>IF(Y43&gt;=$B$50,HLOOKUP(Y43,Titrisation!$B$65:$BD$66,2),0)</f>
        <v>0</v>
      </c>
      <c r="Z50" s="142">
        <f>IF(Z43&gt;=$B$50,HLOOKUP(Z43,Titrisation!$B$65:$BD$66,2),0)</f>
        <v>0</v>
      </c>
      <c r="AA50" s="142">
        <f>IF(AA43&gt;=$B$50,HLOOKUP(AA43,Titrisation!$B$65:$BD$66,2),0)</f>
        <v>0</v>
      </c>
      <c r="AB50" s="142">
        <f>IF(AB43&gt;=$B$50,HLOOKUP(AB43,Titrisation!$B$65:$BD$66,2),0)</f>
        <v>317910</v>
      </c>
      <c r="AC50" s="142">
        <f>IF(AC43&gt;=$B$50,HLOOKUP(AC43,Titrisation!$B$65:$BD$66,2),0)</f>
        <v>324268.2</v>
      </c>
      <c r="AD50" s="142">
        <f>IF(AD43&gt;=$B$50,HLOOKUP(AD43,Titrisation!$B$65:$BD$66,2),0)</f>
        <v>330753.56400000001</v>
      </c>
      <c r="AE50" s="142">
        <f>IF(AE43&gt;=$B$50,HLOOKUP(AE43,Titrisation!$B$65:$BD$66,2),0)</f>
        <v>337368.63528000005</v>
      </c>
      <c r="AF50" s="142">
        <f>IF(AF43&gt;=$B$50,HLOOKUP(AF43,Titrisation!$B$65:$BD$66,2),0)</f>
        <v>344116.00798559998</v>
      </c>
      <c r="AG50" s="142">
        <f>IF(AG43&gt;=$B$50,HLOOKUP(AG43,Titrisation!$B$65:$BD$66,2),0)</f>
        <v>350998.32814531209</v>
      </c>
      <c r="AH50" s="142">
        <f>IF(AH43&gt;=$B$50,HLOOKUP(AH43,Titrisation!$B$65:$BD$66,2),0)</f>
        <v>358018.29470821837</v>
      </c>
      <c r="AI50" s="142">
        <f>IF(AI43&gt;=$B$50,HLOOKUP(AI43,Titrisation!$B$65:$BD$66,2),0)</f>
        <v>365178.66060238262</v>
      </c>
      <c r="AJ50" s="142">
        <f>IF(AJ43&gt;=$B$50,HLOOKUP(AJ43,Titrisation!$B$65:$BD$66,2),0)</f>
        <v>372482.23381443036</v>
      </c>
      <c r="AK50" s="142">
        <f>IF(AK43&gt;=$B$50,HLOOKUP(AK43,Titrisation!$B$65:$BD$66,2),0)</f>
        <v>379931.87849071895</v>
      </c>
      <c r="AL50" s="142">
        <f>IF(AL43&gt;=$B$50,HLOOKUP(AL43,Titrisation!$B$65:$BD$66,2),0)</f>
        <v>387530.51606053341</v>
      </c>
      <c r="AM50" s="142">
        <f>IF(AM43&gt;=$B$50,HLOOKUP(AM43,Titrisation!$B$65:$BD$66,2),0)</f>
        <v>395281.12638174399</v>
      </c>
      <c r="AN50" s="142">
        <f>IF(AN43&gt;=$B$50,HLOOKUP(AN43,Titrisation!$B$65:$BD$66,2),0)</f>
        <v>403186.74890937889</v>
      </c>
      <c r="AO50" s="142">
        <f>IF(AO43&gt;=$B$50,HLOOKUP(AO43,Titrisation!$B$65:$BD$66,2),0)</f>
        <v>411250.48388756649</v>
      </c>
      <c r="AP50" s="142">
        <f>IF(AP43&gt;=$B$50,HLOOKUP(AP43,Titrisation!$B$65:$BD$66,2),0)</f>
        <v>419475.49356531783</v>
      </c>
      <c r="AQ50" s="142">
        <f>IF(AQ43&gt;=$B$50,HLOOKUP(AQ43,Titrisation!$B$65:$BD$66,2),0)</f>
        <v>427865.00343662425</v>
      </c>
      <c r="AR50" s="142">
        <f>IF(AR43&gt;=$B$50,HLOOKUP(AR43,Titrisation!$B$65:$BD$66,2),0)</f>
        <v>436422.30350535671</v>
      </c>
      <c r="AS50" s="142">
        <f>IF(AS43&gt;=$B$50,HLOOKUP(AS43,Titrisation!$B$65:$BD$66,2),0)</f>
        <v>445150.74957546382</v>
      </c>
      <c r="AT50" s="142">
        <f>IF(AT43&gt;=$B$50,HLOOKUP(AT43,Titrisation!$B$65:$BD$66,2),0)</f>
        <v>454053.76456697303</v>
      </c>
      <c r="AU50" s="142">
        <f>IF(AU43&gt;=$B$50,HLOOKUP(AU43,Titrisation!$B$65:$BD$66,2),0)</f>
        <v>463134.83985831263</v>
      </c>
      <c r="AV50" s="142">
        <f>IF(AV43&gt;=$B$50,HLOOKUP(AV43,Titrisation!$B$65:$BD$66,2),0)</f>
        <v>472397.53665547888</v>
      </c>
      <c r="AW50" s="142">
        <f>IF(AW43&gt;=$B$50,HLOOKUP(AW43,Titrisation!$B$65:$BD$66,2),0)</f>
        <v>481845.48738858849</v>
      </c>
      <c r="AX50" s="142">
        <f>IF(AX43&gt;=$B$50,HLOOKUP(AX43,Titrisation!$B$65:$BD$66,2),0)</f>
        <v>491482.39713636017</v>
      </c>
      <c r="AY50" s="142">
        <f>IF(AY43&gt;=$B$50,HLOOKUP(AY43,Titrisation!$B$65:$BD$66,2),0)</f>
        <v>501312.04507908743</v>
      </c>
      <c r="AZ50" s="142">
        <f>IF(AZ43&gt;=$B$50,HLOOKUP(AZ43,Titrisation!$B$65:$BD$66,2),0)</f>
        <v>511338.2859806692</v>
      </c>
      <c r="BA50" s="142">
        <f>IF(BA43&gt;=$B$50,HLOOKUP(BA43,Titrisation!$B$65:$BD$66,2),0)</f>
        <v>521565.05170028267</v>
      </c>
      <c r="BB50" s="142">
        <f>IF(BB43&gt;=$B$50,HLOOKUP(BB43,Titrisation!$B$65:$BD$66,2),0)</f>
        <v>531996.35273428832</v>
      </c>
      <c r="BC50" s="142">
        <f>IF(BC43&gt;=$B$50,HLOOKUP(BC43,Titrisation!$B$65:$BD$66,2),0)</f>
        <v>542636.27978897409</v>
      </c>
      <c r="BD50" s="142">
        <f>IF(BD43&gt;=$B$50,HLOOKUP(BD43,Titrisation!$B$65:$BD$66,2),0)</f>
        <v>553489.00538475357</v>
      </c>
      <c r="BE50" s="142">
        <f>IF(BE43&gt;=$B$50,HLOOKUP(BE43,Titrisation!$B$65:$BD$66,2),0)</f>
        <v>564558.78549244872</v>
      </c>
      <c r="BF50" s="142">
        <f>IF(BF43&gt;=$B$50,HLOOKUP(BF43,Titrisation!$B$65:$BD$66,2),0)</f>
        <v>575849.96120229771</v>
      </c>
      <c r="BG50" s="142">
        <f>IF(BG43&gt;=$B$50,HLOOKUP(BG43,Titrisation!$B$65:$BD$66,2),0)</f>
        <v>587366.9604263436</v>
      </c>
      <c r="BH50" s="142">
        <f>IF(BH43&gt;=$B$50,HLOOKUP(BH43,Titrisation!$B$65:$BD$66,2),0)</f>
        <v>599114.29963487037</v>
      </c>
      <c r="BI50" s="142">
        <f>IF(BI43&gt;=$B$50,HLOOKUP(BI43,Titrisation!$B$65:$BD$66,2),0)</f>
        <v>611096.58562756795</v>
      </c>
      <c r="BJ50" s="142">
        <f>IF(BJ43&gt;=$B$50,HLOOKUP(BJ43,Titrisation!$B$65:$BD$66,2),0)</f>
        <v>623318.51734011923</v>
      </c>
    </row>
    <row r="51" spans="1:62" s="37" customFormat="1" outlineLevel="1" x14ac:dyDescent="0.25">
      <c r="A51" s="37" t="str">
        <f>H38</f>
        <v>BM8 : Cash to digital</v>
      </c>
      <c r="B51" s="298">
        <f>'Cash to digital'!I22</f>
        <v>44348</v>
      </c>
      <c r="C51" s="567" t="str">
        <f>IF(C43&gt;=$B$51,HLOOKUP(C43,'Cash to digital'!$B$51:$BD$52,2),"0")</f>
        <v>0</v>
      </c>
      <c r="D51" s="567" t="str">
        <f>IF(D43&gt;=$B$51,HLOOKUP(D43,'Cash to digital'!$B$51:$BD$52,2),"0")</f>
        <v>0</v>
      </c>
      <c r="E51" s="567" t="str">
        <f>IF(E43&gt;=$B$51,HLOOKUP(E43,'Cash to digital'!$B$51:$BD$52,2),"0")</f>
        <v>0</v>
      </c>
      <c r="F51" s="567" t="str">
        <f>IF(F43&gt;=$B$51,HLOOKUP(F43,'Cash to digital'!$B$51:$BD$52,2),"0")</f>
        <v>0</v>
      </c>
      <c r="G51" s="567" t="str">
        <f>IF(G43&gt;=$B$51,HLOOKUP(G43,'Cash to digital'!$B$51:$BD$52,2),"0")</f>
        <v>0</v>
      </c>
      <c r="H51" s="567" t="str">
        <f>IF(H43&gt;=$B$51,HLOOKUP(H43,'Cash to digital'!$B$51:$BD$52,2),"0")</f>
        <v>0</v>
      </c>
      <c r="I51" s="567" t="str">
        <f>IF(I43&gt;=$B$51,HLOOKUP(I43,'Cash to digital'!$B$51:$BD$52,2),"0")</f>
        <v>0</v>
      </c>
      <c r="J51" s="567" t="str">
        <f>IF(J43&gt;=$B$51,HLOOKUP(J43,'Cash to digital'!$B$51:$BD$52,2),"0")</f>
        <v>0</v>
      </c>
      <c r="K51" s="567" t="str">
        <f>IF(K43&gt;=$B$51,HLOOKUP(K43,'Cash to digital'!$B$51:$BD$52,2),"0")</f>
        <v>0</v>
      </c>
      <c r="L51" s="567" t="str">
        <f>IF(L43&gt;=$B$51,HLOOKUP(L43,'Cash to digital'!$B$51:$BD$52,2),"0")</f>
        <v>0</v>
      </c>
      <c r="M51" s="567" t="str">
        <f>IF(M43&gt;=$B$51,HLOOKUP(M43,'Cash to digital'!$B$51:$BD$52,2),"0")</f>
        <v>0</v>
      </c>
      <c r="N51" s="567" t="str">
        <f>IF(N43&gt;=$B$51,HLOOKUP(N43,'Cash to digital'!$B$51:$BD$52,2),"0")</f>
        <v>0</v>
      </c>
      <c r="O51" s="567" t="str">
        <f>IF(O43&gt;=$B$51,HLOOKUP(O43,'Cash to digital'!$B$51:$BD$52,2),"0")</f>
        <v>0</v>
      </c>
      <c r="P51" s="567" t="str">
        <f>IF(P43&gt;=$B$51,HLOOKUP(P43,'Cash to digital'!$B$51:$BD$52,2),"0")</f>
        <v>0</v>
      </c>
      <c r="Q51" s="567" t="str">
        <f>IF(Q43&gt;=$B$51,HLOOKUP(Q43,'Cash to digital'!$B$51:$BD$52,2),"0")</f>
        <v>0</v>
      </c>
      <c r="R51" s="567" t="str">
        <f>IF(R43&gt;=$B$51,HLOOKUP(R43,'Cash to digital'!$B$51:$BD$52,2),"0")</f>
        <v>0</v>
      </c>
      <c r="S51" s="567" t="str">
        <f>IF(S43&gt;=$B$51,HLOOKUP(S43,'Cash to digital'!$B$51:$BD$52,2),"0")</f>
        <v>0</v>
      </c>
      <c r="T51" s="567">
        <f>IF(T43&gt;=$B$51,HLOOKUP(T43,'Cash to digital'!$B$51:$BD$52,2),"0")</f>
        <v>0</v>
      </c>
      <c r="U51" s="567">
        <f>IF(U43&gt;=$B$51,HLOOKUP(U43,'Cash to digital'!$B$51:$BD$52,2),"0")</f>
        <v>5490</v>
      </c>
      <c r="V51" s="567">
        <f>IF(V43&gt;=$B$51,HLOOKUP(V43,'Cash to digital'!$B$51:$BD$52,2),"0")</f>
        <v>6039</v>
      </c>
      <c r="W51" s="567">
        <f>IF(W43&gt;=$B$51,HLOOKUP(W43,'Cash to digital'!$B$51:$BD$52,2),"0")</f>
        <v>6642.9000000000005</v>
      </c>
      <c r="X51" s="567">
        <f>IF(X43&gt;=$B$51,HLOOKUP(X43,'Cash to digital'!$B$51:$BD$52,2),"0")</f>
        <v>7307.1900000000014</v>
      </c>
      <c r="Y51" s="567">
        <f>IF(Y43&gt;=$B$51,HLOOKUP(Y43,'Cash to digital'!$B$51:$BD$52,2),"0")</f>
        <v>8037.9089999999997</v>
      </c>
      <c r="Z51" s="567">
        <f>IF(Z43&gt;=$B$51,HLOOKUP(Z43,'Cash to digital'!$B$51:$BD$52,2),"0")</f>
        <v>8841.6998999999996</v>
      </c>
      <c r="AA51" s="567">
        <f>IF(AA43&gt;=$B$51,HLOOKUP(AA43,'Cash to digital'!$B$51:$BD$52,2),"0")</f>
        <v>9725.8698899999999</v>
      </c>
      <c r="AB51" s="567">
        <f>IF(AB43&gt;=$B$51,HLOOKUP(AB43,'Cash to digital'!$B$51:$BD$52,2),"0")</f>
        <v>10698.456878999999</v>
      </c>
      <c r="AC51" s="567">
        <f>IF(AC43&gt;=$B$51,HLOOKUP(AC43,'Cash to digital'!$B$51:$BD$52,2),"0")</f>
        <v>11768.302566899998</v>
      </c>
      <c r="AD51" s="567">
        <f>IF(AD43&gt;=$B$51,HLOOKUP(AD43,'Cash to digital'!$B$51:$BD$52,2),"0")</f>
        <v>12945.13282359</v>
      </c>
      <c r="AE51" s="567">
        <f>IF(AE43&gt;=$B$51,HLOOKUP(AE43,'Cash to digital'!$B$51:$BD$52,2),"0")</f>
        <v>14239.646105949003</v>
      </c>
      <c r="AF51" s="567">
        <f>IF(AF43&gt;=$B$51,HLOOKUP(AF43,'Cash to digital'!$B$51:$BD$52,2),"0")</f>
        <v>15663.610716543901</v>
      </c>
      <c r="AG51" s="567">
        <f>IF(AG43&gt;=$B$51,HLOOKUP(AG43,'Cash to digital'!$B$51:$BD$52,2),"0")</f>
        <v>17229.971788198291</v>
      </c>
      <c r="AH51" s="567">
        <f>IF(AH43&gt;=$B$51,HLOOKUP(AH43,'Cash to digital'!$B$51:$BD$52,2),"0")</f>
        <v>18952.968967018118</v>
      </c>
      <c r="AI51" s="567">
        <f>IF(AI43&gt;=$B$51,HLOOKUP(AI43,'Cash to digital'!$B$51:$BD$52,2),"0")</f>
        <v>20848.265863719927</v>
      </c>
      <c r="AJ51" s="567">
        <f>IF(AJ43&gt;=$B$51,HLOOKUP(AJ43,'Cash to digital'!$B$51:$BD$52,2),"0")</f>
        <v>22933.092450091921</v>
      </c>
      <c r="AK51" s="567">
        <f>IF(AK43&gt;=$B$51,HLOOKUP(AK43,'Cash to digital'!$B$51:$BD$52,2),"0")</f>
        <v>25226.401695101111</v>
      </c>
      <c r="AL51" s="567">
        <f>IF(AL43&gt;=$B$51,HLOOKUP(AL43,'Cash to digital'!$B$51:$BD$52,2),"0")</f>
        <v>27749.041864611223</v>
      </c>
      <c r="AM51" s="567">
        <f>IF(AM43&gt;=$B$51,HLOOKUP(AM43,'Cash to digital'!$B$51:$BD$52,2),"0")</f>
        <v>30523.946051072347</v>
      </c>
      <c r="AN51" s="567">
        <f>IF(AN43&gt;=$B$51,HLOOKUP(AN43,'Cash to digital'!$B$51:$BD$52,2),"0")</f>
        <v>33576.340656179585</v>
      </c>
      <c r="AO51" s="567">
        <f>IF(AO43&gt;=$B$51,HLOOKUP(AO43,'Cash to digital'!$B$51:$BD$52,2),"0")</f>
        <v>36933.974721797545</v>
      </c>
      <c r="AP51" s="567">
        <f>IF(AP43&gt;=$B$51,HLOOKUP(AP43,'Cash to digital'!$B$51:$BD$52,2),"0")</f>
        <v>40627.372193977302</v>
      </c>
      <c r="AQ51" s="567">
        <f>IF(AQ43&gt;=$B$51,HLOOKUP(AQ43,'Cash to digital'!$B$51:$BD$52,2),"0")</f>
        <v>44690.109413375023</v>
      </c>
      <c r="AR51" s="567">
        <f>IF(AR43&gt;=$B$51,HLOOKUP(AR43,'Cash to digital'!$B$51:$BD$52,2),"0")</f>
        <v>49159.120354712533</v>
      </c>
      <c r="AS51" s="567">
        <f>IF(AS43&gt;=$B$51,HLOOKUP(AS43,'Cash to digital'!$B$51:$BD$52,2),"0")</f>
        <v>54075.032390183784</v>
      </c>
      <c r="AT51" s="567">
        <f>IF(AT43&gt;=$B$51,HLOOKUP(AT43,'Cash to digital'!$B$51:$BD$52,2),"0")</f>
        <v>59482.535629202161</v>
      </c>
      <c r="AU51" s="567">
        <f>IF(AU43&gt;=$B$51,HLOOKUP(AU43,'Cash to digital'!$B$51:$BD$52,2),"0")</f>
        <v>65430.789192122385</v>
      </c>
      <c r="AV51" s="567">
        <f>IF(AV43&gt;=$B$51,HLOOKUP(AV43,'Cash to digital'!$B$51:$BD$52,2),"0")</f>
        <v>71973.868111334625</v>
      </c>
      <c r="AW51" s="567">
        <f>IF(AW43&gt;=$B$51,HLOOKUP(AW43,'Cash to digital'!$B$51:$BD$52,2),"0")</f>
        <v>79171.254922468099</v>
      </c>
      <c r="AX51" s="567">
        <f>IF(AX43&gt;=$B$51,HLOOKUP(AX43,'Cash to digital'!$B$51:$BD$52,2),"0")</f>
        <v>87088.380414714906</v>
      </c>
      <c r="AY51" s="567">
        <f>IF(AY43&gt;=$B$51,HLOOKUP(AY43,'Cash to digital'!$B$51:$BD$52,2),"0")</f>
        <v>95797.218456186383</v>
      </c>
      <c r="AZ51" s="567">
        <f>IF(AZ43&gt;=$B$51,HLOOKUP(AZ43,'Cash to digital'!$B$51:$BD$52,2),"0")</f>
        <v>105376.94030180502</v>
      </c>
      <c r="BA51" s="567">
        <f>IF(BA43&gt;=$B$51,HLOOKUP(BA43,'Cash to digital'!$B$51:$BD$52,2),"0")</f>
        <v>115914.63433198552</v>
      </c>
      <c r="BB51" s="567">
        <f>IF(BB43&gt;=$B$51,HLOOKUP(BB43,'Cash to digital'!$B$51:$BD$52,2),"0")</f>
        <v>127506.09776518411</v>
      </c>
      <c r="BC51" s="567">
        <f>IF(BC43&gt;=$B$51,HLOOKUP(BC43,'Cash to digital'!$B$51:$BD$52,2),"0")</f>
        <v>140256.70754170252</v>
      </c>
      <c r="BD51" s="567">
        <f>IF(BD43&gt;=$B$51,HLOOKUP(BD43,'Cash to digital'!$B$51:$BD$52,2),"0")</f>
        <v>154282.37829587277</v>
      </c>
      <c r="BE51" s="567">
        <f>IF(BE43&gt;=$B$51,HLOOKUP(BE43,'Cash to digital'!$B$51:$BD$52,2),"0")</f>
        <v>169710.61612546002</v>
      </c>
      <c r="BF51" s="567">
        <f>IF(BF43&gt;=$B$51,HLOOKUP(BF43,'Cash to digital'!$B$51:$BD$52,2),"0")</f>
        <v>186681.67773800602</v>
      </c>
      <c r="BG51" s="567">
        <f>IF(BG43&gt;=$B$51,HLOOKUP(BG43,'Cash to digital'!$B$51:$BD$52,2),"0")</f>
        <v>205349.84551180669</v>
      </c>
      <c r="BH51" s="567">
        <f>IF(BH43&gt;=$B$51,HLOOKUP(BH43,'Cash to digital'!$B$51:$BD$52,2),"0")</f>
        <v>225884.83006298734</v>
      </c>
      <c r="BI51" s="567">
        <f>IF(BI43&gt;=$B$51,HLOOKUP(BI43,'Cash to digital'!$B$51:$BD$52,2),"0")</f>
        <v>248473.31306928606</v>
      </c>
      <c r="BJ51" s="567">
        <f>IF(BJ43&gt;=$B$51,HLOOKUP(BJ43,'Cash to digital'!$B$51:$BD$52,2),"0")</f>
        <v>273320.64437621477</v>
      </c>
    </row>
    <row r="52" spans="1:62" x14ac:dyDescent="0.25">
      <c r="A52" s="129" t="s">
        <v>83</v>
      </c>
      <c r="B52" s="2"/>
      <c r="C52" s="139">
        <f>SUM(C44:C51)</f>
        <v>1870.4</v>
      </c>
      <c r="D52" s="139">
        <f t="shared" ref="D52:BJ52" si="13">SUM(D44:D51)</f>
        <v>3740.8</v>
      </c>
      <c r="E52" s="139">
        <f t="shared" si="13"/>
        <v>5861.2</v>
      </c>
      <c r="F52" s="139">
        <f t="shared" si="13"/>
        <v>9551.6</v>
      </c>
      <c r="G52" s="139">
        <f t="shared" si="13"/>
        <v>13242</v>
      </c>
      <c r="H52" s="139">
        <f t="shared" si="13"/>
        <v>16932.400000000001</v>
      </c>
      <c r="I52" s="139">
        <f t="shared" si="13"/>
        <v>20622.8</v>
      </c>
      <c r="J52" s="139">
        <f t="shared" si="13"/>
        <v>28454</v>
      </c>
      <c r="K52" s="139">
        <f t="shared" si="13"/>
        <v>37093.1</v>
      </c>
      <c r="L52" s="139">
        <f t="shared" si="13"/>
        <v>49148</v>
      </c>
      <c r="M52" s="139">
        <f t="shared" si="13"/>
        <v>64661.2</v>
      </c>
      <c r="N52" s="139">
        <f t="shared" si="13"/>
        <v>103640.2</v>
      </c>
      <c r="O52" s="139">
        <f t="shared" si="13"/>
        <v>106977.726</v>
      </c>
      <c r="P52" s="139">
        <f t="shared" si="13"/>
        <v>110558.44850000001</v>
      </c>
      <c r="Q52" s="139">
        <f t="shared" si="13"/>
        <v>134612.14907500002</v>
      </c>
      <c r="R52" s="139">
        <f t="shared" si="13"/>
        <v>138341.01706725001</v>
      </c>
      <c r="S52" s="139">
        <f t="shared" si="13"/>
        <v>141997.30749926751</v>
      </c>
      <c r="T52" s="139">
        <f t="shared" si="13"/>
        <v>166033.34304424556</v>
      </c>
      <c r="U52" s="139">
        <f t="shared" si="13"/>
        <v>175741.51605557289</v>
      </c>
      <c r="V52" s="139">
        <f t="shared" si="13"/>
        <v>180743.29065724011</v>
      </c>
      <c r="W52" s="139">
        <f t="shared" si="13"/>
        <v>185087.10489695732</v>
      </c>
      <c r="X52" s="139">
        <f t="shared" si="13"/>
        <v>190030.87496386602</v>
      </c>
      <c r="Y52" s="139">
        <f t="shared" si="13"/>
        <v>398698.59516825411</v>
      </c>
      <c r="Z52" s="139">
        <f t="shared" si="13"/>
        <v>425160.62808165932</v>
      </c>
      <c r="AA52" s="139">
        <f t="shared" si="13"/>
        <v>456897.30131011701</v>
      </c>
      <c r="AB52" s="139">
        <f t="shared" si="13"/>
        <v>845722.36792625347</v>
      </c>
      <c r="AC52" s="139">
        <f t="shared" si="13"/>
        <v>922623.86950572568</v>
      </c>
      <c r="AD52" s="139">
        <f t="shared" si="13"/>
        <v>991250.02661139704</v>
      </c>
      <c r="AE52" s="139">
        <f t="shared" si="13"/>
        <v>1085252.6535332692</v>
      </c>
      <c r="AF52" s="139">
        <f t="shared" si="13"/>
        <v>1166625.6329185413</v>
      </c>
      <c r="AG52" s="139">
        <f t="shared" si="13"/>
        <v>1456640.1011184065</v>
      </c>
      <c r="AH52" s="139">
        <f t="shared" si="13"/>
        <v>1557745.9109790653</v>
      </c>
      <c r="AI52" s="139">
        <f t="shared" si="13"/>
        <v>1684458.9953134118</v>
      </c>
      <c r="AJ52" s="139">
        <f t="shared" si="13"/>
        <v>1919863.1368333041</v>
      </c>
      <c r="AK52" s="139">
        <f t="shared" si="13"/>
        <v>2060505.5392494542</v>
      </c>
      <c r="AL52" s="139">
        <f t="shared" si="13"/>
        <v>2230004.2737450399</v>
      </c>
      <c r="AM52" s="139">
        <f t="shared" si="13"/>
        <v>2419203.5206862018</v>
      </c>
      <c r="AN52" s="139">
        <f t="shared" si="13"/>
        <v>2640424.173806686</v>
      </c>
      <c r="AO52" s="139">
        <f t="shared" si="13"/>
        <v>2899378.0297093084</v>
      </c>
      <c r="AP52" s="139">
        <f t="shared" si="13"/>
        <v>3204892.910515035</v>
      </c>
      <c r="AQ52" s="139">
        <f t="shared" si="13"/>
        <v>3502899.3349224934</v>
      </c>
      <c r="AR52" s="139">
        <f t="shared" si="13"/>
        <v>3847962.1899989783</v>
      </c>
      <c r="AS52" s="139">
        <f t="shared" si="13"/>
        <v>4213201.3836758714</v>
      </c>
      <c r="AT52" s="139">
        <f t="shared" si="13"/>
        <v>4632979.7592162266</v>
      </c>
      <c r="AU52" s="139">
        <f t="shared" si="13"/>
        <v>5102613.6474966602</v>
      </c>
      <c r="AV52" s="139">
        <f t="shared" si="13"/>
        <v>5616343.3904143153</v>
      </c>
      <c r="AW52" s="139">
        <f t="shared" si="13"/>
        <v>6170815.7916495288</v>
      </c>
      <c r="AX52" s="139">
        <f t="shared" si="13"/>
        <v>6822080.880690814</v>
      </c>
      <c r="AY52" s="139">
        <f t="shared" si="13"/>
        <v>7522426.8257989809</v>
      </c>
      <c r="AZ52" s="139">
        <f t="shared" si="13"/>
        <v>8332688.6069825189</v>
      </c>
      <c r="BA52" s="139">
        <f t="shared" si="13"/>
        <v>9272364.8857730925</v>
      </c>
      <c r="BB52" s="139">
        <f t="shared" si="13"/>
        <v>10298550.275104452</v>
      </c>
      <c r="BC52" s="139">
        <f t="shared" si="13"/>
        <v>11443180.191263786</v>
      </c>
      <c r="BD52" s="139">
        <f t="shared" si="13"/>
        <v>12708934.728162631</v>
      </c>
      <c r="BE52" s="139">
        <f t="shared" si="13"/>
        <v>14142638.946317403</v>
      </c>
      <c r="BF52" s="139">
        <f t="shared" si="13"/>
        <v>15770072.264323363</v>
      </c>
      <c r="BG52" s="139">
        <f t="shared" si="13"/>
        <v>17574610.123279337</v>
      </c>
      <c r="BH52" s="139">
        <f t="shared" si="13"/>
        <v>19624018.583029922</v>
      </c>
      <c r="BI52" s="139">
        <f t="shared" si="13"/>
        <v>21909725.210960306</v>
      </c>
      <c r="BJ52" s="139">
        <f t="shared" si="13"/>
        <v>24489745.129786875</v>
      </c>
    </row>
    <row r="53" spans="1:62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62" x14ac:dyDescent="0.25">
      <c r="A54" s="23" t="s">
        <v>55</v>
      </c>
      <c r="B54" s="23"/>
      <c r="C54" s="24">
        <f>C43</f>
        <v>43831</v>
      </c>
      <c r="D54" s="24">
        <f t="shared" ref="D54:BJ54" si="14">D43</f>
        <v>43862</v>
      </c>
      <c r="E54" s="24">
        <f t="shared" si="14"/>
        <v>43891</v>
      </c>
      <c r="F54" s="24">
        <f t="shared" si="14"/>
        <v>43922</v>
      </c>
      <c r="G54" s="24">
        <f t="shared" si="14"/>
        <v>43952</v>
      </c>
      <c r="H54" s="24">
        <f t="shared" si="14"/>
        <v>43983</v>
      </c>
      <c r="I54" s="24">
        <f t="shared" si="14"/>
        <v>44013</v>
      </c>
      <c r="J54" s="24">
        <f t="shared" si="14"/>
        <v>44044</v>
      </c>
      <c r="K54" s="24">
        <f t="shared" si="14"/>
        <v>44075</v>
      </c>
      <c r="L54" s="24">
        <f t="shared" si="14"/>
        <v>44105</v>
      </c>
      <c r="M54" s="24">
        <f t="shared" si="14"/>
        <v>44136</v>
      </c>
      <c r="N54" s="24">
        <f t="shared" si="14"/>
        <v>44166</v>
      </c>
      <c r="O54" s="24">
        <f t="shared" si="14"/>
        <v>44197</v>
      </c>
      <c r="P54" s="24">
        <f t="shared" si="14"/>
        <v>44228</v>
      </c>
      <c r="Q54" s="24">
        <f t="shared" si="14"/>
        <v>44256</v>
      </c>
      <c r="R54" s="24">
        <f t="shared" si="14"/>
        <v>44287</v>
      </c>
      <c r="S54" s="24">
        <f t="shared" si="14"/>
        <v>44317</v>
      </c>
      <c r="T54" s="24">
        <f t="shared" si="14"/>
        <v>44348</v>
      </c>
      <c r="U54" s="24">
        <f t="shared" si="14"/>
        <v>44378</v>
      </c>
      <c r="V54" s="24">
        <f t="shared" si="14"/>
        <v>44409</v>
      </c>
      <c r="W54" s="24">
        <f t="shared" si="14"/>
        <v>44440</v>
      </c>
      <c r="X54" s="24">
        <f t="shared" si="14"/>
        <v>44470</v>
      </c>
      <c r="Y54" s="24">
        <f t="shared" si="14"/>
        <v>44501</v>
      </c>
      <c r="Z54" s="24">
        <f t="shared" si="14"/>
        <v>44531</v>
      </c>
      <c r="AA54" s="24">
        <f t="shared" si="14"/>
        <v>44562</v>
      </c>
      <c r="AB54" s="24">
        <f t="shared" si="14"/>
        <v>44593</v>
      </c>
      <c r="AC54" s="24">
        <f t="shared" si="14"/>
        <v>44621</v>
      </c>
      <c r="AD54" s="24">
        <f t="shared" si="14"/>
        <v>44652</v>
      </c>
      <c r="AE54" s="24">
        <f t="shared" si="14"/>
        <v>44682</v>
      </c>
      <c r="AF54" s="24">
        <f t="shared" si="14"/>
        <v>44713</v>
      </c>
      <c r="AG54" s="24">
        <f t="shared" si="14"/>
        <v>44743</v>
      </c>
      <c r="AH54" s="24">
        <f t="shared" si="14"/>
        <v>44774</v>
      </c>
      <c r="AI54" s="24">
        <f t="shared" si="14"/>
        <v>44805</v>
      </c>
      <c r="AJ54" s="24">
        <f t="shared" si="14"/>
        <v>44835</v>
      </c>
      <c r="AK54" s="24">
        <f t="shared" si="14"/>
        <v>44866</v>
      </c>
      <c r="AL54" s="24">
        <f t="shared" si="14"/>
        <v>44896</v>
      </c>
      <c r="AM54" s="24">
        <f t="shared" si="14"/>
        <v>44927</v>
      </c>
      <c r="AN54" s="24">
        <f t="shared" si="14"/>
        <v>44958</v>
      </c>
      <c r="AO54" s="24">
        <f t="shared" si="14"/>
        <v>44986</v>
      </c>
      <c r="AP54" s="24">
        <f t="shared" si="14"/>
        <v>45017</v>
      </c>
      <c r="AQ54" s="24">
        <f t="shared" si="14"/>
        <v>45047</v>
      </c>
      <c r="AR54" s="24">
        <f t="shared" si="14"/>
        <v>45078</v>
      </c>
      <c r="AS54" s="24">
        <f t="shared" si="14"/>
        <v>45108</v>
      </c>
      <c r="AT54" s="24">
        <f t="shared" si="14"/>
        <v>45139</v>
      </c>
      <c r="AU54" s="24">
        <f t="shared" si="14"/>
        <v>45170</v>
      </c>
      <c r="AV54" s="24">
        <f t="shared" si="14"/>
        <v>45200</v>
      </c>
      <c r="AW54" s="24">
        <f t="shared" si="14"/>
        <v>45231</v>
      </c>
      <c r="AX54" s="24">
        <f t="shared" si="14"/>
        <v>45261</v>
      </c>
      <c r="AY54" s="24">
        <f t="shared" si="14"/>
        <v>45292</v>
      </c>
      <c r="AZ54" s="24">
        <f t="shared" si="14"/>
        <v>45323</v>
      </c>
      <c r="BA54" s="24">
        <f t="shared" si="14"/>
        <v>45352</v>
      </c>
      <c r="BB54" s="24">
        <f t="shared" si="14"/>
        <v>45383</v>
      </c>
      <c r="BC54" s="24">
        <f t="shared" si="14"/>
        <v>45413</v>
      </c>
      <c r="BD54" s="24">
        <f t="shared" si="14"/>
        <v>45444</v>
      </c>
      <c r="BE54" s="24">
        <f t="shared" si="14"/>
        <v>45474</v>
      </c>
      <c r="BF54" s="24">
        <f t="shared" si="14"/>
        <v>45505</v>
      </c>
      <c r="BG54" s="24">
        <f t="shared" si="14"/>
        <v>45536</v>
      </c>
      <c r="BH54" s="24">
        <f t="shared" si="14"/>
        <v>45566</v>
      </c>
      <c r="BI54" s="24">
        <f t="shared" si="14"/>
        <v>45597</v>
      </c>
      <c r="BJ54" s="24">
        <f t="shared" si="14"/>
        <v>45627</v>
      </c>
    </row>
    <row r="55" spans="1:62" outlineLevel="1" x14ac:dyDescent="0.25">
      <c r="A55" s="1" t="str">
        <f t="shared" ref="A55:A60" si="15">A44</f>
        <v>BM1 : White label websites</v>
      </c>
      <c r="B55" s="238">
        <f>C54</f>
        <v>43831</v>
      </c>
      <c r="C55" s="140">
        <f>'White label websites (WLW)'!C154</f>
        <v>4771</v>
      </c>
      <c r="D55" s="140">
        <f>'White label websites (WLW)'!D154</f>
        <v>4991.8</v>
      </c>
      <c r="E55" s="140">
        <f>'White label websites (WLW)'!E154</f>
        <v>4991.8</v>
      </c>
      <c r="F55" s="140">
        <f>'White label websites (WLW)'!F154</f>
        <v>9236.7999999999993</v>
      </c>
      <c r="G55" s="140">
        <f>'White label websites (WLW)'!G154</f>
        <v>9443.7999999999993</v>
      </c>
      <c r="H55" s="140">
        <f>'White label websites (WLW)'!H154</f>
        <v>9443.7999999999993</v>
      </c>
      <c r="I55" s="140">
        <f>'White label websites (WLW)'!I154</f>
        <v>9443.7999999999993</v>
      </c>
      <c r="J55" s="140">
        <f>'White label websites (WLW)'!J154</f>
        <v>15673.8</v>
      </c>
      <c r="K55" s="140">
        <f>'White label websites (WLW)'!K154</f>
        <v>19777.8</v>
      </c>
      <c r="L55" s="140">
        <f>'White label websites (WLW)'!L154</f>
        <v>32122.2</v>
      </c>
      <c r="M55" s="140">
        <f>'White label websites (WLW)'!M154</f>
        <v>45788.6</v>
      </c>
      <c r="N55" s="140">
        <f>'White label websites (WLW)'!N154</f>
        <v>54024.2</v>
      </c>
      <c r="O55" s="140">
        <f>N55*(1+2%)</f>
        <v>55104.684000000001</v>
      </c>
      <c r="P55" s="140">
        <f t="shared" ref="P55:BJ55" si="16">O55*(1+2%)</f>
        <v>56206.777679999999</v>
      </c>
      <c r="Q55" s="140">
        <f t="shared" si="16"/>
        <v>57330.913233599997</v>
      </c>
      <c r="R55" s="140">
        <f t="shared" si="16"/>
        <v>58477.531498272001</v>
      </c>
      <c r="S55" s="140">
        <f t="shared" si="16"/>
        <v>59647.082128237445</v>
      </c>
      <c r="T55" s="140">
        <f t="shared" si="16"/>
        <v>60840.023770802196</v>
      </c>
      <c r="U55" s="140">
        <f t="shared" si="16"/>
        <v>62056.824246218239</v>
      </c>
      <c r="V55" s="140">
        <f t="shared" si="16"/>
        <v>63297.960731142608</v>
      </c>
      <c r="W55" s="140">
        <f t="shared" si="16"/>
        <v>64563.919945765461</v>
      </c>
      <c r="X55" s="140">
        <f t="shared" si="16"/>
        <v>65855.198344680772</v>
      </c>
      <c r="Y55" s="140">
        <f t="shared" si="16"/>
        <v>67172.302311574385</v>
      </c>
      <c r="Z55" s="140">
        <f t="shared" si="16"/>
        <v>68515.748357805875</v>
      </c>
      <c r="AA55" s="140">
        <f t="shared" si="16"/>
        <v>69886.063324962</v>
      </c>
      <c r="AB55" s="140">
        <f t="shared" si="16"/>
        <v>71283.784591461241</v>
      </c>
      <c r="AC55" s="140">
        <f t="shared" si="16"/>
        <v>72709.460283290464</v>
      </c>
      <c r="AD55" s="140">
        <f t="shared" si="16"/>
        <v>74163.649488956275</v>
      </c>
      <c r="AE55" s="140">
        <f t="shared" si="16"/>
        <v>75646.922478735403</v>
      </c>
      <c r="AF55" s="140">
        <f t="shared" si="16"/>
        <v>77159.86092831011</v>
      </c>
      <c r="AG55" s="140">
        <f t="shared" si="16"/>
        <v>78703.058146876312</v>
      </c>
      <c r="AH55" s="140">
        <f t="shared" si="16"/>
        <v>80277.119309813846</v>
      </c>
      <c r="AI55" s="140">
        <f t="shared" si="16"/>
        <v>81882.661696010124</v>
      </c>
      <c r="AJ55" s="140">
        <f t="shared" si="16"/>
        <v>83520.314929930333</v>
      </c>
      <c r="AK55" s="140">
        <f t="shared" si="16"/>
        <v>85190.721228528942</v>
      </c>
      <c r="AL55" s="140">
        <f t="shared" si="16"/>
        <v>86894.53565309952</v>
      </c>
      <c r="AM55" s="140">
        <f t="shared" si="16"/>
        <v>88632.426366161511</v>
      </c>
      <c r="AN55" s="140">
        <f t="shared" si="16"/>
        <v>90405.074893484736</v>
      </c>
      <c r="AO55" s="140">
        <f t="shared" si="16"/>
        <v>92213.176391354427</v>
      </c>
      <c r="AP55" s="140">
        <f t="shared" si="16"/>
        <v>94057.439919181517</v>
      </c>
      <c r="AQ55" s="140">
        <f t="shared" si="16"/>
        <v>95938.588717565144</v>
      </c>
      <c r="AR55" s="140">
        <f t="shared" si="16"/>
        <v>97857.36049191645</v>
      </c>
      <c r="AS55" s="140">
        <f t="shared" si="16"/>
        <v>99814.507701754774</v>
      </c>
      <c r="AT55" s="140">
        <f t="shared" si="16"/>
        <v>101810.79785578988</v>
      </c>
      <c r="AU55" s="140">
        <f t="shared" si="16"/>
        <v>103847.01381290567</v>
      </c>
      <c r="AV55" s="140">
        <f t="shared" si="16"/>
        <v>105923.95408916379</v>
      </c>
      <c r="AW55" s="140">
        <f t="shared" si="16"/>
        <v>108042.43317094707</v>
      </c>
      <c r="AX55" s="140">
        <f t="shared" si="16"/>
        <v>110203.28183436602</v>
      </c>
      <c r="AY55" s="140">
        <f t="shared" si="16"/>
        <v>112407.34747105333</v>
      </c>
      <c r="AZ55" s="140">
        <f t="shared" si="16"/>
        <v>114655.4944204744</v>
      </c>
      <c r="BA55" s="140">
        <f t="shared" si="16"/>
        <v>116948.60430888388</v>
      </c>
      <c r="BB55" s="140">
        <f t="shared" si="16"/>
        <v>119287.57639506155</v>
      </c>
      <c r="BC55" s="140">
        <f t="shared" si="16"/>
        <v>121673.32792296278</v>
      </c>
      <c r="BD55" s="140">
        <f t="shared" si="16"/>
        <v>124106.79448142204</v>
      </c>
      <c r="BE55" s="140">
        <f t="shared" si="16"/>
        <v>126588.93037105048</v>
      </c>
      <c r="BF55" s="140">
        <f t="shared" si="16"/>
        <v>129120.70897847149</v>
      </c>
      <c r="BG55" s="140">
        <f t="shared" si="16"/>
        <v>131703.12315804092</v>
      </c>
      <c r="BH55" s="140">
        <f t="shared" si="16"/>
        <v>134337.18562120173</v>
      </c>
      <c r="BI55" s="140">
        <f t="shared" si="16"/>
        <v>137023.92933362577</v>
      </c>
      <c r="BJ55" s="140">
        <f t="shared" si="16"/>
        <v>139764.40792029828</v>
      </c>
    </row>
    <row r="56" spans="1:62" outlineLevel="1" x14ac:dyDescent="0.25">
      <c r="A56" s="1" t="str">
        <f t="shared" si="15"/>
        <v>BM2 : WLW Side revenues</v>
      </c>
      <c r="B56" s="238">
        <f>B55</f>
        <v>43831</v>
      </c>
      <c r="C56" s="140">
        <f>'WLW Side revenues'!B87</f>
        <v>25.200000000000003</v>
      </c>
      <c r="D56" s="140">
        <f>'WLW Side revenues'!C87</f>
        <v>50.400000000000006</v>
      </c>
      <c r="E56" s="140">
        <f>'WLW Side revenues'!D87</f>
        <v>200.6</v>
      </c>
      <c r="F56" s="140">
        <f>'WLW Side revenues'!E87</f>
        <v>225.8</v>
      </c>
      <c r="G56" s="140">
        <f>'WLW Side revenues'!F87</f>
        <v>251</v>
      </c>
      <c r="H56" s="140">
        <f>'WLW Side revenues'!G87</f>
        <v>276.2</v>
      </c>
      <c r="I56" s="140">
        <f>'WLW Side revenues'!H87</f>
        <v>301.39999999999998</v>
      </c>
      <c r="J56" s="140">
        <f>'WLW Side revenues'!I87</f>
        <v>457</v>
      </c>
      <c r="K56" s="140">
        <f>'WLW Side revenues'!J87</f>
        <v>637.79999999999995</v>
      </c>
      <c r="L56" s="140">
        <f>'WLW Side revenues'!K87</f>
        <v>914</v>
      </c>
      <c r="M56" s="140">
        <f>'WLW Side revenues'!L87</f>
        <v>1445.6</v>
      </c>
      <c r="N56" s="140">
        <f>'WLW Side revenues'!M87</f>
        <v>11857.6</v>
      </c>
      <c r="O56" s="140">
        <f>'WLW Side revenues'!N87</f>
        <v>12345.487999999999</v>
      </c>
      <c r="P56" s="140">
        <f>'WLW Side revenues'!O87</f>
        <v>12799.548000000001</v>
      </c>
      <c r="Q56" s="140">
        <f>'WLW Side revenues'!P87</f>
        <v>23333.608</v>
      </c>
      <c r="R56" s="140">
        <f>'WLW Side revenues'!Q87</f>
        <v>23787.668000000001</v>
      </c>
      <c r="S56" s="140">
        <f>'WLW Side revenues'!R87</f>
        <v>24286.727999999999</v>
      </c>
      <c r="T56" s="140">
        <f>'WLW Side revenues'!S87</f>
        <v>34695.788</v>
      </c>
      <c r="U56" s="140">
        <f>'WLW Side revenues'!T87</f>
        <v>35274.847999999998</v>
      </c>
      <c r="V56" s="140">
        <f>'WLW Side revenues'!U87</f>
        <v>35808.907999999996</v>
      </c>
      <c r="W56" s="140">
        <f>'WLW Side revenues'!V87</f>
        <v>36182.968000000001</v>
      </c>
      <c r="X56" s="140">
        <f>'WLW Side revenues'!W87</f>
        <v>36661.934000000001</v>
      </c>
      <c r="Y56" s="140">
        <f>'WLW Side revenues'!X87</f>
        <v>47345.9</v>
      </c>
      <c r="Z56" s="140">
        <f>'WLW Side revenues'!Y87</f>
        <v>47824.866000000002</v>
      </c>
      <c r="AA56" s="140">
        <f>'WLW Side revenues'!Z87</f>
        <v>48260.728799999997</v>
      </c>
      <c r="AB56" s="140">
        <f>'WLW Side revenues'!AA87</f>
        <v>58861.938199999997</v>
      </c>
      <c r="AC56" s="140">
        <f>'WLW Side revenues'!AB87</f>
        <v>59213.147599999997</v>
      </c>
      <c r="AD56" s="140">
        <f>'WLW Side revenues'!AC87</f>
        <v>59894.357000000004</v>
      </c>
      <c r="AE56" s="140">
        <f>'WLW Side revenues'!AD87</f>
        <v>70370.566399999996</v>
      </c>
      <c r="AF56" s="140">
        <f>'WLW Side revenues'!AE87</f>
        <v>70971.775800000003</v>
      </c>
      <c r="AG56" s="140">
        <f>'WLW Side revenues'!AF87</f>
        <v>71527.985199999996</v>
      </c>
      <c r="AH56" s="140">
        <f>'WLW Side revenues'!AG87</f>
        <v>71924.194600000003</v>
      </c>
      <c r="AI56" s="140">
        <f>'WLW Side revenues'!AH87</f>
        <v>72480.40400000001</v>
      </c>
      <c r="AJ56" s="140">
        <f>'WLW Side revenues'!AI87</f>
        <v>83081.613400000002</v>
      </c>
      <c r="AK56" s="140">
        <f>'WLW Side revenues'!AJ87</f>
        <v>83557.822799999994</v>
      </c>
      <c r="AL56" s="140">
        <f>'WLW Side revenues'!AK87</f>
        <v>84114.032200000001</v>
      </c>
      <c r="AM56" s="140">
        <f>'WLW Side revenues'!AL87</f>
        <v>94671.745492799993</v>
      </c>
      <c r="AN56" s="140">
        <f>'WLW Side revenues'!AM87</f>
        <v>95146.381020500005</v>
      </c>
      <c r="AO56" s="140">
        <f>'WLW Side revenues'!AN87</f>
        <v>95541.016548200001</v>
      </c>
      <c r="AP56" s="140">
        <f>'WLW Side revenues'!AO87</f>
        <v>106095.6520759</v>
      </c>
      <c r="AQ56" s="140">
        <f>'WLW Side revenues'!AP87</f>
        <v>106695.28760359999</v>
      </c>
      <c r="AR56" s="140">
        <f>'WLW Side revenues'!AQ87</f>
        <v>107249.92313130001</v>
      </c>
      <c r="AS56" s="140">
        <f>'WLW Side revenues'!AR87</f>
        <v>107724.558659</v>
      </c>
      <c r="AT56" s="140">
        <f>'WLW Side revenues'!AS87</f>
        <v>108244.1941867</v>
      </c>
      <c r="AU56" s="140">
        <f>'WLW Side revenues'!AT87</f>
        <v>118798.8297144</v>
      </c>
      <c r="AV56" s="140">
        <f>'WLW Side revenues'!AU87</f>
        <v>119273.46524210001</v>
      </c>
      <c r="AW56" s="140">
        <f>'WLW Side revenues'!AV87</f>
        <v>119828.1007698</v>
      </c>
      <c r="AX56" s="140">
        <f>'WLW Side revenues'!AW87</f>
        <v>130427.7362975</v>
      </c>
      <c r="AY56" s="140">
        <f>'WLW Side revenues'!AX87</f>
        <v>130862.8319532508</v>
      </c>
      <c r="AZ56" s="140">
        <f>'WLW Side revenues'!AY87</f>
        <v>131461.46991537409</v>
      </c>
      <c r="BA56" s="140">
        <f>'WLW Side revenues'!AZ87</f>
        <v>141890.10787749739</v>
      </c>
      <c r="BB56" s="140">
        <f>'WLW Side revenues'!BA87</f>
        <v>142513.16747254098</v>
      </c>
      <c r="BC56" s="140">
        <f>'WLW Side revenues'!BB87</f>
        <v>142931.22706758461</v>
      </c>
      <c r="BD56" s="140">
        <f>'WLW Side revenues'!BC87</f>
        <v>143509.2866626282</v>
      </c>
      <c r="BE56" s="140">
        <f>'WLW Side revenues'!BD87</f>
        <v>144132.3462576718</v>
      </c>
      <c r="BF56" s="140">
        <f>'WLW Side revenues'!BE87</f>
        <v>154710.4058527154</v>
      </c>
      <c r="BG56" s="140">
        <f>'WLW Side revenues'!BF87</f>
        <v>155333.46544775899</v>
      </c>
      <c r="BH56" s="140">
        <f>'WLW Side revenues'!BG87</f>
        <v>165911.52504280259</v>
      </c>
      <c r="BI56" s="140">
        <f>'WLW Side revenues'!BH87</f>
        <v>166409.58463784619</v>
      </c>
      <c r="BJ56" s="140">
        <f>'WLW Side revenues'!BI87</f>
        <v>167032.64423288981</v>
      </c>
    </row>
    <row r="57" spans="1:62" outlineLevel="1" x14ac:dyDescent="0.25">
      <c r="A57" s="1" t="str">
        <f t="shared" si="15"/>
        <v>BM3 : Advertising</v>
      </c>
      <c r="B57" s="238">
        <f>Advertising!B56</f>
        <v>44287</v>
      </c>
      <c r="C57" s="140">
        <f>IF(C54&gt;=$B$57,HLOOKUP(C54,Advertising!$B$65:$AU$67,3),0)</f>
        <v>0</v>
      </c>
      <c r="D57" s="140">
        <f>IF(D54&gt;=$B$57,HLOOKUP(D54,Advertising!$B$65:$AU$67,3),0)</f>
        <v>0</v>
      </c>
      <c r="E57" s="140">
        <f>IF(E54&gt;=$B$57,HLOOKUP(E54,Advertising!$B$65:$AU$67,3),0)</f>
        <v>0</v>
      </c>
      <c r="F57" s="140">
        <f>IF(F54&gt;=$B$57,HLOOKUP(F54,Advertising!$B$65:$AU$67,3),0)</f>
        <v>0</v>
      </c>
      <c r="G57" s="140">
        <f>IF(G54&gt;=$B$57,HLOOKUP(G54,Advertising!$B$65:$AU$67,3),0)</f>
        <v>0</v>
      </c>
      <c r="H57" s="140">
        <f>IF(H54&gt;=$B$57,HLOOKUP(H54,Advertising!$B$65:$AU$67,3),0)</f>
        <v>0</v>
      </c>
      <c r="I57" s="140">
        <f>IF(I54&gt;=$B$57,HLOOKUP(I54,Advertising!$B$65:$AU$67,3),0)</f>
        <v>0</v>
      </c>
      <c r="J57" s="140">
        <f>IF(J54&gt;=$B$57,HLOOKUP(J54,Advertising!$B$65:$AU$67,3),0)</f>
        <v>0</v>
      </c>
      <c r="K57" s="140">
        <f>IF(K54&gt;=$B$57,HLOOKUP(K54,Advertising!$B$65:$AU$67,3),0)</f>
        <v>0</v>
      </c>
      <c r="L57" s="140">
        <f>IF(L54&gt;=$B$57,HLOOKUP(L54,Advertising!$B$65:$AU$67,3),0)</f>
        <v>0</v>
      </c>
      <c r="M57" s="140">
        <f>IF(M54&gt;=$B$57,HLOOKUP(M54,Advertising!$B$65:$AU$67,3),0)</f>
        <v>0</v>
      </c>
      <c r="N57" s="140">
        <f>IF(N54&gt;=$B$57,HLOOKUP(N54,Advertising!$B$65:$AU$67,3),0)</f>
        <v>0</v>
      </c>
      <c r="O57" s="140">
        <f>IF(O54&gt;=$B$57,HLOOKUP(O54,Advertising!$B$65:$AU$67,3),0)</f>
        <v>0</v>
      </c>
      <c r="P57" s="140">
        <f>IF(P54&gt;=$B$57,HLOOKUP(P54,Advertising!$B$65:$AU$67,3),0)</f>
        <v>0</v>
      </c>
      <c r="Q57" s="140">
        <f>IF(Q54&gt;=$B$57,HLOOKUP(Q54,Advertising!$B$65:$AU$67,3),0)</f>
        <v>0</v>
      </c>
      <c r="R57" s="140">
        <f>IF(R54&gt;=$B$57,HLOOKUP(R54,Advertising!$B$65:$AU$67,3),0)</f>
        <v>23290</v>
      </c>
      <c r="S57" s="140">
        <f>IF(S54&gt;=$B$57,HLOOKUP(S54,Advertising!$B$65:$AU$67,3),0)</f>
        <v>23290</v>
      </c>
      <c r="T57" s="140">
        <f>IF(T54&gt;=$B$57,HLOOKUP(T54,Advertising!$B$65:$AU$67,3),0)</f>
        <v>23305</v>
      </c>
      <c r="U57" s="140">
        <f>IF(U54&gt;=$B$57,HLOOKUP(U54,Advertising!$B$65:$AU$67,3),0)</f>
        <v>23320.224999999999</v>
      </c>
      <c r="V57" s="140">
        <f>IF(V54&gt;=$B$57,HLOOKUP(V54,Advertising!$B$65:$AU$67,3),0)</f>
        <v>23335.678375</v>
      </c>
      <c r="W57" s="140">
        <f>IF(W54&gt;=$B$57,HLOOKUP(W54,Advertising!$B$65:$AU$67,3),0)</f>
        <v>10946.363550624999</v>
      </c>
      <c r="X57" s="140">
        <f>IF(X54&gt;=$B$57,HLOOKUP(X54,Advertising!$B$65:$AU$67,3),0)</f>
        <v>10962.284003884375</v>
      </c>
      <c r="Y57" s="140">
        <f>IF(Y54&gt;=$B$57,HLOOKUP(Y54,Advertising!$B$65:$AU$67,3),0)</f>
        <v>11093.44326394264</v>
      </c>
      <c r="Z57" s="140">
        <f>IF(Z54&gt;=$B$57,HLOOKUP(Z54,Advertising!$B$65:$AU$67,3),0)</f>
        <v>11109.844912901779</v>
      </c>
      <c r="AA57" s="140">
        <f>IF(AA54&gt;=$B$57,HLOOKUP(AA54,Advertising!$B$65:$AU$67,3),0)</f>
        <v>11126.492586595306</v>
      </c>
      <c r="AB57" s="140">
        <f>IF(AB54&gt;=$B$57,HLOOKUP(AB54,Advertising!$B$65:$AU$67,3),0)</f>
        <v>11143.389975394235</v>
      </c>
      <c r="AC57" s="140">
        <f>IF(AC54&gt;=$B$57,HLOOKUP(AC54,Advertising!$B$65:$AU$67,3),0)</f>
        <v>11160.540825025149</v>
      </c>
      <c r="AD57" s="140">
        <f>IF(AD54&gt;=$B$57,HLOOKUP(AD54,Advertising!$B$65:$AU$67,3),0)</f>
        <v>11177.948937400526</v>
      </c>
      <c r="AE57" s="140">
        <f>IF(AE54&gt;=$B$57,HLOOKUP(AE54,Advertising!$B$65:$AU$67,3),0)</f>
        <v>11195.618171461534</v>
      </c>
      <c r="AF57" s="140">
        <f>IF(AF54&gt;=$B$57,HLOOKUP(AF54,Advertising!$B$65:$AU$67,3),0)</f>
        <v>11213.552444033456</v>
      </c>
      <c r="AG57" s="140">
        <f>IF(AG54&gt;=$B$57,HLOOKUP(AG54,Advertising!$B$65:$AU$67,3),0)</f>
        <v>11231.755730693958</v>
      </c>
      <c r="AH57" s="140">
        <f>IF(AH54&gt;=$B$57,HLOOKUP(AH54,Advertising!$B$65:$AU$67,3),0)</f>
        <v>11250.232066654367</v>
      </c>
      <c r="AI57" s="140">
        <f>IF(AI54&gt;=$B$57,HLOOKUP(AI54,Advertising!$B$65:$AU$67,3),0)</f>
        <v>11268.985547654183</v>
      </c>
      <c r="AJ57" s="140">
        <f>IF(AJ54&gt;=$B$57,HLOOKUP(AJ54,Advertising!$B$65:$AU$67,3),0)</f>
        <v>11288.020330868996</v>
      </c>
      <c r="AK57" s="140">
        <f>IF(AK54&gt;=$B$57,HLOOKUP(AK54,Advertising!$B$65:$AU$67,3),0)</f>
        <v>11307.34063583203</v>
      </c>
      <c r="AL57" s="140">
        <f>IF(AL54&gt;=$B$57,HLOOKUP(AL54,Advertising!$B$65:$AU$67,3),0)</f>
        <v>11326.950745369511</v>
      </c>
      <c r="AM57" s="140">
        <f>IF(AM54&gt;=$B$57,HLOOKUP(AM54,Advertising!$B$65:$AU$67,3),0)</f>
        <v>11346.855006550053</v>
      </c>
      <c r="AN57" s="140">
        <f>IF(AN54&gt;=$B$57,HLOOKUP(AN54,Advertising!$B$65:$AU$67,3),0)</f>
        <v>11367.057831648304</v>
      </c>
      <c r="AO57" s="140">
        <f>IF(AO54&gt;=$B$57,HLOOKUP(AO54,Advertising!$B$65:$AU$67,3),0)</f>
        <v>11387.563699123029</v>
      </c>
      <c r="AP57" s="140">
        <f>IF(AP54&gt;=$B$57,HLOOKUP(AP54,Advertising!$B$65:$AU$67,3),0)</f>
        <v>11408.377154609874</v>
      </c>
      <c r="AQ57" s="140">
        <f>IF(AQ54&gt;=$B$57,HLOOKUP(AQ54,Advertising!$B$65:$AU$67,3),0)</f>
        <v>11429.502811929022</v>
      </c>
      <c r="AR57" s="140">
        <f>IF(AR54&gt;=$B$57,HLOOKUP(AR54,Advertising!$B$65:$AU$67,3),0)</f>
        <v>11450.945354107957</v>
      </c>
      <c r="AS57" s="140">
        <f>IF(AS54&gt;=$B$57,HLOOKUP(AS54,Advertising!$B$65:$AU$67,3),0)</f>
        <v>11472.709534419577</v>
      </c>
      <c r="AT57" s="140">
        <f>IF(AT54&gt;=$B$57,HLOOKUP(AT54,Advertising!$B$65:$AU$67,3),0)</f>
        <v>11494.800177435869</v>
      </c>
      <c r="AU57" s="140">
        <f>IF(AU54&gt;=$B$57,HLOOKUP(AU54,Advertising!$B$65:$AU$67,3),0)</f>
        <v>11517.222180097408</v>
      </c>
      <c r="AV57" s="140">
        <f>IF(AV54&gt;=$B$57,HLOOKUP(AV54,Advertising!$B$65:$AU$67,3),0)</f>
        <v>11539.980512798869</v>
      </c>
      <c r="AW57" s="140">
        <f>IF(AW54&gt;=$B$57,HLOOKUP(AW54,Advertising!$B$65:$AU$67,3),0)</f>
        <v>11563.08022049085</v>
      </c>
      <c r="AX57" s="140">
        <f>IF(AX54&gt;=$B$57,HLOOKUP(AX54,Advertising!$B$65:$AU$67,3),0)</f>
        <v>11586.526423798214</v>
      </c>
      <c r="AY57" s="140">
        <f>IF(AY54&gt;=$B$57,HLOOKUP(AY54,Advertising!$B$65:$AU$67,3),0)</f>
        <v>11610.324320155187</v>
      </c>
      <c r="AZ57" s="140">
        <f>IF(AZ54&gt;=$B$57,HLOOKUP(AZ54,Advertising!$B$65:$AU$67,3),0)</f>
        <v>11634.479184957514</v>
      </c>
      <c r="BA57" s="140">
        <f>IF(BA54&gt;=$B$57,HLOOKUP(BA54,Advertising!$B$65:$AU$67,3),0)</f>
        <v>11658.996372731877</v>
      </c>
      <c r="BB57" s="140">
        <f>IF(BB54&gt;=$B$57,HLOOKUP(BB54,Advertising!$B$65:$AU$67,3),0)</f>
        <v>11683.881318322856</v>
      </c>
      <c r="BC57" s="140">
        <f>IF(BC54&gt;=$B$57,HLOOKUP(BC54,Advertising!$B$65:$AU$67,3),0)</f>
        <v>11709.139538097697</v>
      </c>
      <c r="BD57" s="140">
        <f>IF(BD54&gt;=$B$57,HLOOKUP(BD54,Advertising!$B$65:$AU$67,3),0)</f>
        <v>11734.776631169163</v>
      </c>
      <c r="BE57" s="140">
        <f>IF(BE54&gt;=$B$57,HLOOKUP(BE54,Advertising!$B$65:$AU$67,3),0)</f>
        <v>11760.7982806367</v>
      </c>
      <c r="BF57" s="140">
        <f>IF(BF54&gt;=$B$57,HLOOKUP(BF54,Advertising!$B$65:$AU$67,3),0)</f>
        <v>11787.210254846252</v>
      </c>
      <c r="BG57" s="140">
        <f>IF(BG54&gt;=$B$57,HLOOKUP(BG54,Advertising!$B$65:$AU$67,3),0)</f>
        <v>11814.018408668944</v>
      </c>
      <c r="BH57" s="140">
        <f>IF(BH54&gt;=$B$57,HLOOKUP(BH54,Advertising!$B$65:$AU$67,3),0)</f>
        <v>11841.228684798978</v>
      </c>
      <c r="BI57" s="140">
        <f>IF(BI54&gt;=$B$57,HLOOKUP(BI54,Advertising!$B$65:$AU$67,3),0)</f>
        <v>11868.847115070963</v>
      </c>
      <c r="BJ57" s="140">
        <f>IF(BJ54&gt;=$B$57,HLOOKUP(BJ54,Advertising!$B$65:$AU$67,3),0)</f>
        <v>11896.879821797027</v>
      </c>
    </row>
    <row r="58" spans="1:62" outlineLevel="1" x14ac:dyDescent="0.25">
      <c r="A58" s="1" t="str">
        <f t="shared" si="15"/>
        <v>BM4 : Sponsoring marketplace</v>
      </c>
      <c r="B58" s="238">
        <f>'Sponsoring marketplace'!B55</f>
        <v>44228</v>
      </c>
      <c r="C58" s="140">
        <f>IF(C54&gt;=$B$58,HLOOKUP(C54,'Sponsoring marketplace'!$B$65:$BD$67,3),0)</f>
        <v>0</v>
      </c>
      <c r="D58" s="140">
        <f>IF(D54&gt;=$B$58,HLOOKUP(D54,'Sponsoring marketplace'!$B$65:$BD$67,3),0)</f>
        <v>0</v>
      </c>
      <c r="E58" s="140">
        <f>IF(E54&gt;=$B$58,HLOOKUP(E54,'Sponsoring marketplace'!$B$65:$BD$67,3),0)</f>
        <v>0</v>
      </c>
      <c r="F58" s="140">
        <f>IF(F54&gt;=$B$58,HLOOKUP(F54,'Sponsoring marketplace'!$B$65:$BD$67,3),0)</f>
        <v>0</v>
      </c>
      <c r="G58" s="140">
        <f>IF(G54&gt;=$B$58,HLOOKUP(G54,'Sponsoring marketplace'!$B$65:$BD$67,3),0)</f>
        <v>0</v>
      </c>
      <c r="H58" s="140">
        <f>IF(H54&gt;=$B$58,HLOOKUP(H54,'Sponsoring marketplace'!$B$65:$BD$67,3),0)</f>
        <v>0</v>
      </c>
      <c r="I58" s="140">
        <f>IF(I54&gt;=$B$58,HLOOKUP(I54,'Sponsoring marketplace'!$B$65:$BD$67,3),0)</f>
        <v>0</v>
      </c>
      <c r="J58" s="140">
        <f>IF(J54&gt;=$B$58,HLOOKUP(J54,'Sponsoring marketplace'!$B$65:$BD$67,3),0)</f>
        <v>0</v>
      </c>
      <c r="K58" s="140">
        <f>IF(K54&gt;=$B$58,HLOOKUP(K54,'Sponsoring marketplace'!$B$65:$BD$67,3),0)</f>
        <v>0</v>
      </c>
      <c r="L58" s="140">
        <f>IF(L54&gt;=$B$58,HLOOKUP(L54,'Sponsoring marketplace'!$B$65:$BD$67,3),0)</f>
        <v>0</v>
      </c>
      <c r="M58" s="140">
        <f>IF(M54&gt;=$B$58,HLOOKUP(M54,'Sponsoring marketplace'!$B$65:$BD$67,3),0)</f>
        <v>0</v>
      </c>
      <c r="N58" s="140">
        <f>IF(N54&gt;=$B$58,HLOOKUP(N54,'Sponsoring marketplace'!$B$65:$BD$67,3),0)</f>
        <v>0</v>
      </c>
      <c r="O58" s="140">
        <f>IF(O54&gt;=$B$58,HLOOKUP(O54,'Sponsoring marketplace'!$B$65:$BD$67,3),0)</f>
        <v>0</v>
      </c>
      <c r="P58" s="140">
        <f>IF(P54&gt;=$B$58,HLOOKUP(P54,'Sponsoring marketplace'!$B$65:$BD$67,3),0)</f>
        <v>20331.666666666668</v>
      </c>
      <c r="Q58" s="140">
        <f>IF(Q54&gt;=$B$58,HLOOKUP(Q54,'Sponsoring marketplace'!$B$65:$BD$67,3),0)</f>
        <v>20331.666666666668</v>
      </c>
      <c r="R58" s="140">
        <f>IF(R54&gt;=$B$58,HLOOKUP(R54,'Sponsoring marketplace'!$B$65:$BD$67,3),0)</f>
        <v>20346.666666666668</v>
      </c>
      <c r="S58" s="140">
        <f>IF(S54&gt;=$B$58,HLOOKUP(S54,'Sponsoring marketplace'!$B$65:$BD$67,3),0)</f>
        <v>20361.891666666666</v>
      </c>
      <c r="T58" s="140">
        <f>IF(T54&gt;=$B$58,HLOOKUP(T54,'Sponsoring marketplace'!$B$65:$BD$67,3),0)</f>
        <v>20377.345041666667</v>
      </c>
      <c r="U58" s="140">
        <f>IF(U54&gt;=$B$58,HLOOKUP(U54,'Sponsoring marketplace'!$B$65:$BD$67,3),0)</f>
        <v>20393.030217291667</v>
      </c>
      <c r="V58" s="140">
        <f>IF(V54&gt;=$B$58,HLOOKUP(V54,'Sponsoring marketplace'!$B$65:$BD$67,3),0)</f>
        <v>20408.950670551043</v>
      </c>
      <c r="W58" s="140">
        <f>IF(W54&gt;=$B$58,HLOOKUP(W54,'Sponsoring marketplace'!$B$65:$BD$67,3),0)</f>
        <v>10564.44326394264</v>
      </c>
      <c r="X58" s="140">
        <f>IF(X54&gt;=$B$58,HLOOKUP(X54,'Sponsoring marketplace'!$B$65:$BD$67,3),0)</f>
        <v>10580.844912901779</v>
      </c>
      <c r="Y58" s="140">
        <f>IF(Y54&gt;=$B$58,HLOOKUP(Y54,'Sponsoring marketplace'!$B$65:$BD$67,3),0)</f>
        <v>37925.47502235719</v>
      </c>
      <c r="Z58" s="140">
        <f>IF(Z54&gt;=$B$58,HLOOKUP(Z54,'Sponsoring marketplace'!$B$65:$BD$67,3),0)</f>
        <v>41258.494017278608</v>
      </c>
      <c r="AA58" s="140">
        <f>IF(AA54&gt;=$B$58,HLOOKUP(AA54,'Sponsoring marketplace'!$B$65:$BD$67,3),0)</f>
        <v>45705.27257767391</v>
      </c>
      <c r="AB58" s="140">
        <f>IF(AB54&gt;=$B$58,HLOOKUP(AB54,'Sponsoring marketplace'!$B$65:$BD$67,3),0)</f>
        <v>53151.042368655129</v>
      </c>
      <c r="AC58" s="140">
        <f>IF(AC54&gt;=$B$58,HLOOKUP(AC54,'Sponsoring marketplace'!$B$65:$BD$67,3),0)</f>
        <v>61630.297029350884</v>
      </c>
      <c r="AD58" s="140">
        <f>IF(AD54&gt;=$B$58,HLOOKUP(AD54,'Sponsoring marketplace'!$B$65:$BD$67,3),0)</f>
        <v>71264.752925555513</v>
      </c>
      <c r="AE58" s="140">
        <f>IF(AE54&gt;=$B$58,HLOOKUP(AE54,'Sponsoring marketplace'!$B$65:$BD$67,3),0)</f>
        <v>82189.602101411103</v>
      </c>
      <c r="AF58" s="140">
        <f>IF(AF54&gt;=$B$58,HLOOKUP(AF54,'Sponsoring marketplace'!$B$65:$BD$67,3),0)</f>
        <v>94555.01096853365</v>
      </c>
      <c r="AG58" s="140">
        <f>IF(AG54&gt;=$B$58,HLOOKUP(AG54,'Sponsoring marketplace'!$B$65:$BD$67,3),0)</f>
        <v>108527.79978794578</v>
      </c>
      <c r="AH58" s="140">
        <f>IF(AH54&gt;=$B$58,HLOOKUP(AH54,'Sponsoring marketplace'!$B$65:$BD$67,3),0)</f>
        <v>124293.328700292</v>
      </c>
      <c r="AI58" s="140">
        <f>IF(AI54&gt;=$B$58,HLOOKUP(AI54,'Sponsoring marketplace'!$B$65:$BD$67,3),0)</f>
        <v>142057.62056343406</v>
      </c>
      <c r="AJ58" s="140">
        <f>IF(AJ54&gt;=$B$58,HLOOKUP(AJ54,'Sponsoring marketplace'!$B$65:$BD$67,3),0)</f>
        <v>162049.75628741889</v>
      </c>
      <c r="AK58" s="140">
        <f>IF(AK54&gt;=$B$58,HLOOKUP(AK54,'Sponsoring marketplace'!$B$65:$BD$67,3),0)</f>
        <v>184524.58492433553</v>
      </c>
      <c r="AL58" s="140">
        <f>IF(AL54&gt;=$B$58,HLOOKUP(AL54,'Sponsoring marketplace'!$B$65:$BD$67,3),0)</f>
        <v>209765.79873338804</v>
      </c>
      <c r="AM58" s="140">
        <f>IF(AM54&gt;=$B$58,HLOOKUP(AM54,'Sponsoring marketplace'!$B$65:$BD$67,3),0)</f>
        <v>238089.43311935753</v>
      </c>
      <c r="AN58" s="140">
        <f>IF(AN54&gt;=$B$58,HLOOKUP(AN54,'Sponsoring marketplace'!$B$65:$BD$67,3),0)</f>
        <v>275973.26996346767</v>
      </c>
      <c r="AO58" s="140">
        <f>IF(AO54&gt;=$B$58,HLOOKUP(AO54,'Sponsoring marketplace'!$B$65:$BD$67,3),0)</f>
        <v>318698.17398617824</v>
      </c>
      <c r="AP58" s="140">
        <f>IF(AP54&gt;=$B$58,HLOOKUP(AP54,'Sponsoring marketplace'!$B$65:$BD$67,3),0)</f>
        <v>366829.13007125014</v>
      </c>
      <c r="AQ58" s="140">
        <f>IF(AQ54&gt;=$B$58,HLOOKUP(AQ54,'Sponsoring marketplace'!$B$65:$BD$67,3),0)</f>
        <v>420997.19295625697</v>
      </c>
      <c r="AR58" s="140">
        <f>IF(AR54&gt;=$B$58,HLOOKUP(AR54,'Sponsoring marketplace'!$B$65:$BD$67,3),0)</f>
        <v>481907.95036982896</v>
      </c>
      <c r="AS58" s="140">
        <f>IF(AS54&gt;=$B$58,HLOOKUP(AS54,'Sponsoring marketplace'!$B$65:$BD$67,3),0)</f>
        <v>550351.27413264313</v>
      </c>
      <c r="AT58" s="140">
        <f>IF(AT54&gt;=$B$58,HLOOKUP(AT54,'Sponsoring marketplace'!$B$65:$BD$67,3),0)</f>
        <v>627212.5968005819</v>
      </c>
      <c r="AU58" s="140">
        <f>IF(AU54&gt;=$B$58,HLOOKUP(AU54,'Sponsoring marketplace'!$B$65:$BD$67,3),0)</f>
        <v>713486.00187736668</v>
      </c>
      <c r="AV58" s="140">
        <f>IF(AV54&gt;=$B$58,HLOOKUP(AV54,'Sponsoring marketplace'!$B$65:$BD$67,3),0)</f>
        <v>810289.47762439656</v>
      </c>
      <c r="AW58" s="140">
        <f>IF(AW54&gt;=$B$58,HLOOKUP(AW54,'Sponsoring marketplace'!$B$65:$BD$67,3),0)</f>
        <v>918882.7607825317</v>
      </c>
      <c r="AX58" s="140">
        <f>IF(AX54&gt;=$B$58,HLOOKUP(AX54,'Sponsoring marketplace'!$B$65:$BD$67,3),0)</f>
        <v>1040688.2904856757</v>
      </c>
      <c r="AY58" s="140">
        <f>IF(AY54&gt;=$B$58,HLOOKUP(AY54,'Sponsoring marketplace'!$B$65:$BD$67,3),0)</f>
        <v>1177315.908495486</v>
      </c>
      <c r="AZ58" s="140">
        <f>IF(AZ54&gt;=$B$58,HLOOKUP(AZ54,'Sponsoring marketplace'!$B$65:$BD$67,3),0)</f>
        <v>1339846.9747013242</v>
      </c>
      <c r="BA58" s="140">
        <f>IF(BA54&gt;=$B$58,HLOOKUP(BA54,'Sponsoring marketplace'!$B$65:$BD$67,3),0)</f>
        <v>1522634.914320939</v>
      </c>
      <c r="BB58" s="140">
        <f>IF(BB54&gt;=$B$58,HLOOKUP(BB54,'Sponsoring marketplace'!$B$65:$BD$67,3),0)</f>
        <v>1728239.8571476238</v>
      </c>
      <c r="BC58" s="140">
        <f>IF(BC54&gt;=$B$58,HLOOKUP(BC54,'Sponsoring marketplace'!$B$65:$BD$67,3),0)</f>
        <v>1959588.4795672256</v>
      </c>
      <c r="BD58" s="140">
        <f>IF(BD54&gt;=$B$58,HLOOKUP(BD54,'Sponsoring marketplace'!$B$65:$BD$67,3),0)</f>
        <v>2220026.0627755867</v>
      </c>
      <c r="BE58" s="140">
        <f>IF(BE54&gt;=$B$58,HLOOKUP(BE54,'Sponsoring marketplace'!$B$65:$BD$67,3),0)</f>
        <v>2513398.8326065573</v>
      </c>
      <c r="BF58" s="140">
        <f>IF(BF54&gt;=$B$58,HLOOKUP(BF54,'Sponsoring marketplace'!$B$65:$BD$67,3),0)</f>
        <v>2844140.1204645396</v>
      </c>
      <c r="BG58" s="140">
        <f>IF(BG54&gt;=$B$58,HLOOKUP(BG54,'Sponsoring marketplace'!$B$65:$BD$67,3),0)</f>
        <v>3217377.5009748535</v>
      </c>
      <c r="BH58" s="140">
        <f>IF(BH54&gt;=$B$58,HLOOKUP(BH54,'Sponsoring marketplace'!$B$65:$BD$67,3),0)</f>
        <v>3639062.4346201732</v>
      </c>
      <c r="BI58" s="140">
        <f>IF(BI54&gt;=$B$58,HLOOKUP(BI54,'Sponsoring marketplace'!$B$65:$BD$67,3),0)</f>
        <v>4116127.535131664</v>
      </c>
      <c r="BJ58" s="140">
        <f>IF(BJ54&gt;=$B$58,HLOOKUP(BJ54,'Sponsoring marketplace'!$B$65:$BD$67,3),0)</f>
        <v>4656677.7898607431</v>
      </c>
    </row>
    <row r="59" spans="1:62" outlineLevel="1" x14ac:dyDescent="0.25">
      <c r="A59" s="1" t="str">
        <f t="shared" si="15"/>
        <v>BM5 : Digital goods marketplace</v>
      </c>
      <c r="B59" s="238">
        <f>'Digital goods marketplace'!B33</f>
        <v>44593</v>
      </c>
      <c r="C59" s="140">
        <f>IF(C54&gt;=$B$59,HLOOKUP(C54,'Digital goods marketplace'!$B$64:$BD$66,3),0)</f>
        <v>0</v>
      </c>
      <c r="D59" s="140">
        <f>IF(D54&gt;=$B$59,HLOOKUP(D54,'Digital goods marketplace'!$B$64:$BD$66,3),0)</f>
        <v>0</v>
      </c>
      <c r="E59" s="140">
        <f>IF(E54&gt;=$B$59,HLOOKUP(E54,'Digital goods marketplace'!$B$64:$BD$66,3),0)</f>
        <v>0</v>
      </c>
      <c r="F59" s="140">
        <f>IF(F54&gt;=$B$59,HLOOKUP(F54,'Digital goods marketplace'!$B$64:$BD$66,3),0)</f>
        <v>0</v>
      </c>
      <c r="G59" s="140">
        <f>IF(G54&gt;=$B$59,HLOOKUP(G54,'Digital goods marketplace'!$B$64:$BD$66,3),0)</f>
        <v>0</v>
      </c>
      <c r="H59" s="140">
        <f>IF(H54&gt;=$B$59,HLOOKUP(H54,'Digital goods marketplace'!$B$64:$BD$66,3),0)</f>
        <v>0</v>
      </c>
      <c r="I59" s="140">
        <f>IF(I54&gt;=$B$59,HLOOKUP(I54,'Digital goods marketplace'!$B$64:$BD$66,3),0)</f>
        <v>0</v>
      </c>
      <c r="J59" s="140">
        <f>IF(J54&gt;=$B$59,HLOOKUP(J54,'Digital goods marketplace'!$B$64:$BD$66,3),0)</f>
        <v>0</v>
      </c>
      <c r="K59" s="140">
        <f>IF(K54&gt;=$B$59,HLOOKUP(K54,'Digital goods marketplace'!$B$64:$BD$66,3),0)</f>
        <v>0</v>
      </c>
      <c r="L59" s="140">
        <f>IF(L54&gt;=$B$59,HLOOKUP(L54,'Digital goods marketplace'!$B$64:$BD$66,3),0)</f>
        <v>0</v>
      </c>
      <c r="M59" s="140">
        <f>IF(M54&gt;=$B$59,HLOOKUP(M54,'Digital goods marketplace'!$B$64:$BD$66,3),0)</f>
        <v>0</v>
      </c>
      <c r="N59" s="140">
        <f>IF(N54&gt;=$B$59,HLOOKUP(N54,'Digital goods marketplace'!$B$64:$BD$66,3),0)</f>
        <v>0</v>
      </c>
      <c r="O59" s="140">
        <f>IF(O54&gt;=$B$59,HLOOKUP(O54,'Digital goods marketplace'!$B$64:$BD$66,3),0)</f>
        <v>0</v>
      </c>
      <c r="P59" s="140">
        <f>IF(P54&gt;=$B$59,HLOOKUP(P54,'Digital goods marketplace'!$B$64:$BD$66,3),0)</f>
        <v>0</v>
      </c>
      <c r="Q59" s="140">
        <f>IF(Q54&gt;=$B$59,HLOOKUP(Q54,'Digital goods marketplace'!$B$64:$BD$66,3),0)</f>
        <v>0</v>
      </c>
      <c r="R59" s="140">
        <f>IF(R54&gt;=$B$59,HLOOKUP(R54,'Digital goods marketplace'!$B$64:$BD$66,3),0)</f>
        <v>0</v>
      </c>
      <c r="S59" s="140">
        <f>IF(S54&gt;=$B$59,HLOOKUP(S54,'Digital goods marketplace'!$B$64:$BD$66,3),0)</f>
        <v>0</v>
      </c>
      <c r="T59" s="140">
        <f>IF(T54&gt;=$B$59,HLOOKUP(T54,'Digital goods marketplace'!$B$64:$BD$66,3),0)</f>
        <v>0</v>
      </c>
      <c r="U59" s="140">
        <f>IF(U54&gt;=$B$59,HLOOKUP(U54,'Digital goods marketplace'!$B$64:$BD$66,3),0)</f>
        <v>0</v>
      </c>
      <c r="V59" s="140">
        <f>IF(V54&gt;=$B$59,HLOOKUP(V54,'Digital goods marketplace'!$B$64:$BD$66,3),0)</f>
        <v>0</v>
      </c>
      <c r="W59" s="140">
        <f>IF(W54&gt;=$B$59,HLOOKUP(W54,'Digital goods marketplace'!$B$64:$BD$66,3),0)</f>
        <v>0</v>
      </c>
      <c r="X59" s="140">
        <f>IF(X54&gt;=$B$59,HLOOKUP(X54,'Digital goods marketplace'!$B$64:$BD$66,3),0)</f>
        <v>0</v>
      </c>
      <c r="Y59" s="140">
        <f>IF(Y54&gt;=$B$59,HLOOKUP(Y54,'Digital goods marketplace'!$B$64:$BD$66,3),0)</f>
        <v>0</v>
      </c>
      <c r="Z59" s="140">
        <f>IF(Z54&gt;=$B$59,HLOOKUP(Z54,'Digital goods marketplace'!$B$64:$BD$66,3),0)</f>
        <v>0</v>
      </c>
      <c r="AA59" s="140">
        <f>IF(AA54&gt;=$B$59,HLOOKUP(AA54,'Digital goods marketplace'!$B$64:$BD$66,3),0)</f>
        <v>0</v>
      </c>
      <c r="AB59" s="140">
        <f>IF(AB54&gt;=$B$59,HLOOKUP(AB54,'Digital goods marketplace'!$B$64:$BD$66,3),0)</f>
        <v>26908.333333333332</v>
      </c>
      <c r="AC59" s="140">
        <f>IF(AC54&gt;=$B$59,HLOOKUP(AC54,'Digital goods marketplace'!$B$64:$BD$66,3),0)</f>
        <v>26908.333333333332</v>
      </c>
      <c r="AD59" s="140">
        <f>IF(AD54&gt;=$B$59,HLOOKUP(AD54,'Digital goods marketplace'!$B$64:$BD$66,3),0)</f>
        <v>26938.333333333332</v>
      </c>
      <c r="AE59" s="140">
        <f>IF(AE54&gt;=$B$59,HLOOKUP(AE54,'Digital goods marketplace'!$B$64:$BD$66,3),0)</f>
        <v>26968.783333333333</v>
      </c>
      <c r="AF59" s="140">
        <f>IF(AF54&gt;=$B$59,HLOOKUP(AF54,'Digital goods marketplace'!$B$64:$BD$66,3),0)</f>
        <v>11562.356749999999</v>
      </c>
      <c r="AG59" s="140">
        <f>IF(AG54&gt;=$B$59,HLOOKUP(AG54,'Digital goods marketplace'!$B$64:$BD$66,3),0)</f>
        <v>15834.522609311543</v>
      </c>
      <c r="AH59" s="140">
        <f>IF(AH54&gt;=$B$59,HLOOKUP(AH54,'Digital goods marketplace'!$B$64:$BD$66,3),0)</f>
        <v>15940.599425991524</v>
      </c>
      <c r="AI59" s="140">
        <f>IF(AI54&gt;=$B$59,HLOOKUP(AI54,'Digital goods marketplace'!$B$64:$BD$66,3),0)</f>
        <v>16048.638574472512</v>
      </c>
      <c r="AJ59" s="140">
        <f>IF(AJ54&gt;=$B$59,HLOOKUP(AJ54,'Digital goods marketplace'!$B$64:$BD$66,3),0)</f>
        <v>16158.676913322535</v>
      </c>
      <c r="AK59" s="140">
        <f>IF(AK54&gt;=$B$59,HLOOKUP(AK54,'Digital goods marketplace'!$B$64:$BD$66,3),0)</f>
        <v>16270.752002459965</v>
      </c>
      <c r="AL59" s="140">
        <f>IF(AL54&gt;=$B$59,HLOOKUP(AL54,'Digital goods marketplace'!$B$64:$BD$66,3),0)</f>
        <v>16384.902116643214</v>
      </c>
      <c r="AM59" s="140">
        <f>IF(AM54&gt;=$B$59,HLOOKUP(AM54,'Digital goods marketplace'!$B$64:$BD$66,3),0)</f>
        <v>16501.166259222133</v>
      </c>
      <c r="AN59" s="140">
        <f>IF(AN54&gt;=$B$59,HLOOKUP(AN54,'Digital goods marketplace'!$B$64:$BD$66,3),0)</f>
        <v>16619.584176156328</v>
      </c>
      <c r="AO59" s="140">
        <f>IF(AO54&gt;=$B$59,HLOOKUP(AO54,'Digital goods marketplace'!$B$64:$BD$66,3),0)</f>
        <v>16740.19637030545</v>
      </c>
      <c r="AP59" s="140">
        <f>IF(AP54&gt;=$B$59,HLOOKUP(AP54,'Digital goods marketplace'!$B$64:$BD$66,3),0)</f>
        <v>16863.044115996941</v>
      </c>
      <c r="AQ59" s="140">
        <f>IF(AQ54&gt;=$B$59,HLOOKUP(AQ54,'Digital goods marketplace'!$B$64:$BD$66,3),0)</f>
        <v>16988.169473876544</v>
      </c>
      <c r="AR59" s="140">
        <f>IF(AR54&gt;=$B$59,HLOOKUP(AR54,'Digital goods marketplace'!$B$64:$BD$66,3),0)</f>
        <v>17115.615306047133</v>
      </c>
      <c r="AS59" s="140">
        <f>IF(AS54&gt;=$B$59,HLOOKUP(AS54,'Digital goods marketplace'!$B$64:$BD$66,3),0)</f>
        <v>17245.425291501535</v>
      </c>
      <c r="AT59" s="140">
        <f>IF(AT54&gt;=$B$59,HLOOKUP(AT54,'Digital goods marketplace'!$B$64:$BD$66,3),0)</f>
        <v>17377.643941855022</v>
      </c>
      <c r="AU59" s="140">
        <f>IF(AU54&gt;=$B$59,HLOOKUP(AU54,'Digital goods marketplace'!$B$64:$BD$66,3),0)</f>
        <v>17512.316617383432</v>
      </c>
      <c r="AV59" s="140">
        <f>IF(AV54&gt;=$B$59,HLOOKUP(AV54,'Digital goods marketplace'!$B$64:$BD$66,3),0)</f>
        <v>17649.489543372783</v>
      </c>
      <c r="AW59" s="140">
        <f>IF(AW54&gt;=$B$59,HLOOKUP(AW54,'Digital goods marketplace'!$B$64:$BD$66,3),0)</f>
        <v>17789.20982678654</v>
      </c>
      <c r="AX59" s="140">
        <f>IF(AX54&gt;=$B$59,HLOOKUP(AX54,'Digital goods marketplace'!$B$64:$BD$66,3),0)</f>
        <v>17931.52547325677</v>
      </c>
      <c r="AY59" s="140">
        <f>IF(AY54&gt;=$B$59,HLOOKUP(AY54,'Digital goods marketplace'!$B$64:$BD$66,3),0)</f>
        <v>18076.485404405423</v>
      </c>
      <c r="AZ59" s="140">
        <f>IF(AZ54&gt;=$B$59,HLOOKUP(AZ54,'Digital goods marketplace'!$B$64:$BD$66,3),0)</f>
        <v>18224.139475502303</v>
      </c>
      <c r="BA59" s="140">
        <f>IF(BA54&gt;=$B$59,HLOOKUP(BA54,'Digital goods marketplace'!$B$64:$BD$66,3),0)</f>
        <v>18374.538493466247</v>
      </c>
      <c r="BB59" s="140">
        <f>IF(BB54&gt;=$B$59,HLOOKUP(BB54,'Digital goods marketplace'!$B$64:$BD$66,3),0)</f>
        <v>18527.734235216281</v>
      </c>
      <c r="BC59" s="140">
        <f>IF(BC54&gt;=$B$59,HLOOKUP(BC54,'Digital goods marketplace'!$B$64:$BD$66,3),0)</f>
        <v>18683.779466379528</v>
      </c>
      <c r="BD59" s="140">
        <f>IF(BD54&gt;=$B$59,HLOOKUP(BD54,'Digital goods marketplace'!$B$64:$BD$66,3),0)</f>
        <v>18842.727960362925</v>
      </c>
      <c r="BE59" s="140">
        <f>IF(BE54&gt;=$B$59,HLOOKUP(BE54,'Digital goods marketplace'!$B$64:$BD$66,3),0)</f>
        <v>19004.634517795821</v>
      </c>
      <c r="BF59" s="140">
        <f>IF(BF54&gt;=$B$59,HLOOKUP(BF54,'Digital goods marketplace'!$B$64:$BD$66,3),0)</f>
        <v>19169.554986350766</v>
      </c>
      <c r="BG59" s="140">
        <f>IF(BG54&gt;=$B$59,HLOOKUP(BG54,'Digital goods marketplace'!$B$64:$BD$66,3),0)</f>
        <v>19337.546280949791</v>
      </c>
      <c r="BH59" s="140">
        <f>IF(BH54&gt;=$B$59,HLOOKUP(BH54,'Digital goods marketplace'!$B$64:$BD$66,3),0)</f>
        <v>19508.666404363878</v>
      </c>
      <c r="BI59" s="140">
        <f>IF(BI54&gt;=$B$59,HLOOKUP(BI54,'Digital goods marketplace'!$B$64:$BD$66,3),0)</f>
        <v>19682.974468213171</v>
      </c>
      <c r="BJ59" s="140">
        <f>IF(BJ54&gt;=$B$59,HLOOKUP(BJ54,'Digital goods marketplace'!$B$64:$BD$66,3),0)</f>
        <v>19860.530714375884</v>
      </c>
    </row>
    <row r="60" spans="1:62" outlineLevel="1" x14ac:dyDescent="0.25">
      <c r="A60" s="1" t="str">
        <f t="shared" si="15"/>
        <v>BM6 : Media rights marketplace</v>
      </c>
      <c r="B60" s="458">
        <f>'Media rights marketplace'!B15</f>
        <v>44593</v>
      </c>
      <c r="C60" s="142">
        <f>IF(C54&gt;=$B$60,HLOOKUP(C54,'Media rights marketplace'!$B$71:$BD$77,7),0)</f>
        <v>0</v>
      </c>
      <c r="D60" s="142">
        <f>IF(D54&gt;=$B$60,HLOOKUP(D54,'Media rights marketplace'!$B$71:$BD$77,7),0)</f>
        <v>0</v>
      </c>
      <c r="E60" s="142">
        <f>IF(E54&gt;=$B$60,HLOOKUP(E54,'Media rights marketplace'!$B$71:$BD$77,7),0)</f>
        <v>0</v>
      </c>
      <c r="F60" s="142">
        <f>IF(F54&gt;=$B$60,HLOOKUP(F54,'Media rights marketplace'!$B$71:$BD$77,7),0)</f>
        <v>0</v>
      </c>
      <c r="G60" s="142">
        <f>IF(G54&gt;=$B$60,HLOOKUP(G54,'Media rights marketplace'!$B$71:$BD$77,7),0)</f>
        <v>0</v>
      </c>
      <c r="H60" s="142">
        <f>IF(H54&gt;=$B$60,HLOOKUP(H54,'Media rights marketplace'!$B$71:$BD$77,7),0)</f>
        <v>0</v>
      </c>
      <c r="I60" s="142">
        <f>IF(I54&gt;=$B$60,HLOOKUP(I54,'Media rights marketplace'!$B$71:$BD$77,7),0)</f>
        <v>0</v>
      </c>
      <c r="J60" s="142">
        <f>IF(J54&gt;=$B$60,HLOOKUP(J54,'Media rights marketplace'!$B$71:$BD$77,7),0)</f>
        <v>0</v>
      </c>
      <c r="K60" s="142">
        <f>IF(K54&gt;=$B$60,HLOOKUP(K54,'Media rights marketplace'!$B$71:$BD$77,7),0)</f>
        <v>0</v>
      </c>
      <c r="L60" s="142">
        <f>IF(L54&gt;=$B$60,HLOOKUP(L54,'Media rights marketplace'!$B$71:$BD$77,7),0)</f>
        <v>0</v>
      </c>
      <c r="M60" s="142">
        <f>IF(M54&gt;=$B$60,HLOOKUP(M54,'Media rights marketplace'!$B$71:$BD$77,7),0)</f>
        <v>0</v>
      </c>
      <c r="N60" s="142">
        <f>IF(N54&gt;=$B$60,HLOOKUP(N54,'Media rights marketplace'!$B$71:$BD$77,7),0)</f>
        <v>0</v>
      </c>
      <c r="O60" s="142">
        <f>IF(O54&gt;=$B$60,HLOOKUP(O54,'Media rights marketplace'!$B$71:$BD$77,7),0)</f>
        <v>0</v>
      </c>
      <c r="P60" s="142">
        <f>IF(P54&gt;=$B$60,HLOOKUP(P54,'Media rights marketplace'!$B$71:$BD$77,7),0)</f>
        <v>0</v>
      </c>
      <c r="Q60" s="142">
        <f>IF(Q54&gt;=$B$60,HLOOKUP(Q54,'Media rights marketplace'!$B$71:$BD$77,7),0)</f>
        <v>0</v>
      </c>
      <c r="R60" s="142">
        <f>IF(R54&gt;=$B$60,HLOOKUP(R54,'Media rights marketplace'!$B$71:$BD$77,7),0)</f>
        <v>0</v>
      </c>
      <c r="S60" s="142">
        <f>IF(S54&gt;=$B$60,HLOOKUP(S54,'Media rights marketplace'!$B$71:$BD$77,7),0)</f>
        <v>0</v>
      </c>
      <c r="T60" s="142">
        <f>IF(T54&gt;=$B$60,HLOOKUP(T54,'Media rights marketplace'!$B$71:$BD$77,7),0)</f>
        <v>0</v>
      </c>
      <c r="U60" s="142">
        <f>IF(U54&gt;=$B$60,HLOOKUP(U54,'Media rights marketplace'!$B$71:$BD$77,7),0)</f>
        <v>0</v>
      </c>
      <c r="V60" s="142">
        <f>IF(V54&gt;=$B$60,HLOOKUP(V54,'Media rights marketplace'!$B$71:$BD$77,7),0)</f>
        <v>0</v>
      </c>
      <c r="W60" s="142">
        <f>IF(W54&gt;=$B$60,HLOOKUP(W54,'Media rights marketplace'!$B$71:$BD$77,7),0)</f>
        <v>0</v>
      </c>
      <c r="X60" s="142">
        <f>IF(X54&gt;=$B$60,HLOOKUP(X54,'Media rights marketplace'!$B$71:$BD$77,7),0)</f>
        <v>0</v>
      </c>
      <c r="Y60" s="142">
        <f>IF(Y54&gt;=$B$60,HLOOKUP(Y54,'Media rights marketplace'!$B$71:$BD$77,7),0)</f>
        <v>0</v>
      </c>
      <c r="Z60" s="142">
        <f>IF(Z54&gt;=$B$60,HLOOKUP(Z54,'Media rights marketplace'!$B$71:$BD$77,7),0)</f>
        <v>0</v>
      </c>
      <c r="AA60" s="142">
        <f>IF(AA54&gt;=$B$60,HLOOKUP(AA54,'Media rights marketplace'!$B$71:$BD$77,7),0)</f>
        <v>0</v>
      </c>
      <c r="AB60" s="142">
        <f>IF(AB54&gt;=$B$60,HLOOKUP(AB54,'Media rights marketplace'!$B$71:$BD$77,7),0)</f>
        <v>28432</v>
      </c>
      <c r="AC60" s="142">
        <f>IF(AC54&gt;=$B$60,HLOOKUP(AC54,'Media rights marketplace'!$B$71:$BD$77,7),0)</f>
        <v>28432</v>
      </c>
      <c r="AD60" s="142">
        <f>IF(AD54&gt;=$B$60,HLOOKUP(AD54,'Media rights marketplace'!$B$71:$BD$77,7),0)</f>
        <v>28462</v>
      </c>
      <c r="AE60" s="142">
        <f>IF(AE54&gt;=$B$60,HLOOKUP(AE54,'Media rights marketplace'!$B$71:$BD$77,7),0)</f>
        <v>28492.45</v>
      </c>
      <c r="AF60" s="142">
        <f>IF(AF54&gt;=$B$60,HLOOKUP(AF54,'Media rights marketplace'!$B$71:$BD$77,7),0)</f>
        <v>28523.356749999999</v>
      </c>
      <c r="AG60" s="142">
        <f>IF(AG54&gt;=$B$60,HLOOKUP(AG54,'Media rights marketplace'!$B$71:$BD$77,7),0)</f>
        <v>28554.727101249999</v>
      </c>
      <c r="AH60" s="142">
        <f>IF(AH54&gt;=$B$60,HLOOKUP(AH54,'Media rights marketplace'!$B$71:$BD$77,7),0)</f>
        <v>13025.568007768748</v>
      </c>
      <c r="AI60" s="142">
        <f>IF(AI54&gt;=$B$60,HLOOKUP(AI54,'Media rights marketplace'!$B$71:$BD$77,7),0)</f>
        <v>13057.886527885279</v>
      </c>
      <c r="AJ60" s="142">
        <f>IF(AJ54&gt;=$B$60,HLOOKUP(AJ54,'Media rights marketplace'!$B$71:$BD$77,7),0)</f>
        <v>63700.363299806137</v>
      </c>
      <c r="AK60" s="142">
        <f>IF(AK54&gt;=$B$60,HLOOKUP(AK54,'Media rights marketplace'!$B$71:$BD$77,7),0)</f>
        <v>66922.465786097644</v>
      </c>
      <c r="AL60" s="142">
        <f>IF(AL54&gt;=$B$60,HLOOKUP(AL54,'Media rights marketplace'!$B$71:$BD$77,7),0)</f>
        <v>70174.034099054494</v>
      </c>
      <c r="AM60" s="142">
        <f>IF(AM54&gt;=$B$60,HLOOKUP(AM54,'Media rights marketplace'!$B$71:$BD$77,7),0)</f>
        <v>73457.277256157162</v>
      </c>
      <c r="AN60" s="142">
        <f>IF(AN54&gt;=$B$60,HLOOKUP(AN54,'Media rights marketplace'!$B$71:$BD$77,7),0)</f>
        <v>78210.835021551175</v>
      </c>
      <c r="AO60" s="142">
        <f>IF(AO54&gt;=$B$60,HLOOKUP(AO54,'Media rights marketplace'!$B$71:$BD$77,7),0)</f>
        <v>83008.671004037024</v>
      </c>
      <c r="AP60" s="142">
        <f>IF(AP54&gt;=$B$60,HLOOKUP(AP54,'Media rights marketplace'!$B$71:$BD$77,7),0)</f>
        <v>87854.141283162113</v>
      </c>
      <c r="AQ60" s="142">
        <f>IF(AQ54&gt;=$B$60,HLOOKUP(AQ54,'Media rights marketplace'!$B$71:$BD$77,7),0)</f>
        <v>92751.104292863034</v>
      </c>
      <c r="AR60" s="142">
        <f>IF(AR54&gt;=$B$60,HLOOKUP(AR54,'Media rights marketplace'!$B$71:$BD$77,7),0)</f>
        <v>97703.996158760943</v>
      </c>
      <c r="AS60" s="142">
        <f>IF(AS54&gt;=$B$60,HLOOKUP(AS54,'Media rights marketplace'!$B$71:$BD$77,7),0)</f>
        <v>102717.91733581301</v>
      </c>
      <c r="AT60" s="142">
        <f>IF(AT54&gt;=$B$60,HLOOKUP(AT54,'Media rights marketplace'!$B$71:$BD$77,7),0)</f>
        <v>107798.73224137054</v>
      </c>
      <c r="AU60" s="142">
        <f>IF(AU54&gt;=$B$60,HLOOKUP(AU54,'Media rights marketplace'!$B$71:$BD$77,7),0)</f>
        <v>112953.18383294989</v>
      </c>
      <c r="AV60" s="142">
        <f>IF(AV54&gt;=$B$60,HLOOKUP(AV54,'Media rights marketplace'!$B$71:$BD$77,7),0)</f>
        <v>118189.02537242101</v>
      </c>
      <c r="AW60" s="142">
        <f>IF(AW54&gt;=$B$60,HLOOKUP(AW54,'Media rights marketplace'!$B$71:$BD$77,7),0)</f>
        <v>123515.17195457124</v>
      </c>
      <c r="AX60" s="142">
        <f>IF(AX54&gt;=$B$60,HLOOKUP(AX54,'Media rights marketplace'!$B$71:$BD$77,7),0)</f>
        <v>128941.87476469754</v>
      </c>
      <c r="AY60" s="142">
        <f>IF(AY54&gt;=$B$60,HLOOKUP(AY54,'Media rights marketplace'!$B$71:$BD$77,7),0)</f>
        <v>134480.92147457716</v>
      </c>
      <c r="AZ60" s="142">
        <f>IF(AZ54&gt;=$B$60,HLOOKUP(AZ54,'Media rights marketplace'!$B$71:$BD$77,7),0)</f>
        <v>141007.52694080371</v>
      </c>
      <c r="BA60" s="142">
        <f>IF(BA54&gt;=$B$60,HLOOKUP(BA54,'Media rights marketplace'!$B$71:$BD$77,7),0)</f>
        <v>147679.90436506778</v>
      </c>
      <c r="BB60" s="142">
        <f>IF(BB54&gt;=$B$60,HLOOKUP(BB54,'Media rights marketplace'!$B$71:$BD$77,7),0)</f>
        <v>154515.97706638672</v>
      </c>
      <c r="BC60" s="142">
        <f>IF(BC54&gt;=$B$60,HLOOKUP(BC54,'Media rights marketplace'!$B$71:$BD$77,7),0)</f>
        <v>161536.61628132086</v>
      </c>
      <c r="BD60" s="142">
        <f>IF(BD54&gt;=$B$60,HLOOKUP(BD54,'Media rights marketplace'!$B$71:$BD$77,7),0)</f>
        <v>168765.3025772511</v>
      </c>
      <c r="BE60" s="142">
        <f>IF(BE54&gt;=$B$60,HLOOKUP(BE54,'Media rights marketplace'!$B$71:$BD$77,7),0)</f>
        <v>176229.296691203</v>
      </c>
      <c r="BF60" s="142">
        <f>IF(BF54&gt;=$B$60,HLOOKUP(BF54,'Media rights marketplace'!$B$71:$BD$77,7),0)</f>
        <v>183959.94714858208</v>
      </c>
      <c r="BG60" s="142">
        <f>IF(BG54&gt;=$B$60,HLOOKUP(BG54,'Media rights marketplace'!$B$71:$BD$77,7),0)</f>
        <v>191993.30341159806</v>
      </c>
      <c r="BH60" s="142">
        <f>IF(BH54&gt;=$B$60,HLOOKUP(BH54,'Media rights marketplace'!$B$71:$BD$77,7),0)</f>
        <v>200370.82099965538</v>
      </c>
      <c r="BI60" s="142">
        <f>IF(BI54&gt;=$B$60,HLOOKUP(BI54,'Media rights marketplace'!$B$71:$BD$77,7),0)</f>
        <v>209140.17237750048</v>
      </c>
      <c r="BJ60" s="142">
        <f>IF(BJ54&gt;=$B$60,HLOOKUP(BJ54,'Media rights marketplace'!$B$71:$BD$77,7),0)</f>
        <v>218356.17947628465</v>
      </c>
    </row>
    <row r="61" spans="1:62" s="53" customFormat="1" outlineLevel="1" x14ac:dyDescent="0.25">
      <c r="A61" s="53" t="str">
        <f>H33</f>
        <v>BM7 : Titrisation</v>
      </c>
      <c r="B61" s="458">
        <f>Titrisation!B15</f>
        <v>44317</v>
      </c>
      <c r="C61" s="142">
        <f>IF(C54&gt;=$B$61,HLOOKUP(C54,Titrisation!$B$69:$BD$75,7),0)</f>
        <v>0</v>
      </c>
      <c r="D61" s="142">
        <f>IF(D54&gt;=$B$61,HLOOKUP(D54,Titrisation!$B$69:$BD$75,7),0)</f>
        <v>0</v>
      </c>
      <c r="E61" s="142">
        <f>IF(E54&gt;=$B$61,HLOOKUP(E54,Titrisation!$B$69:$BD$75,7),0)</f>
        <v>0</v>
      </c>
      <c r="F61" s="142">
        <f>IF(F54&gt;=$B$61,HLOOKUP(F54,Titrisation!$B$69:$BD$75,7),0)</f>
        <v>0</v>
      </c>
      <c r="G61" s="142">
        <f>IF(G54&gt;=$B$61,HLOOKUP(G54,Titrisation!$B$69:$BD$75,7),0)</f>
        <v>0</v>
      </c>
      <c r="H61" s="142">
        <f>IF(H54&gt;=$B$61,HLOOKUP(H54,Titrisation!$B$69:$BD$75,7),0)</f>
        <v>0</v>
      </c>
      <c r="I61" s="142">
        <f>IF(I54&gt;=$B$61,HLOOKUP(I54,Titrisation!$B$69:$BD$75,7),0)</f>
        <v>0</v>
      </c>
      <c r="J61" s="142">
        <f>IF(J54&gt;=$B$61,HLOOKUP(J54,Titrisation!$B$69:$BD$75,7),0)</f>
        <v>0</v>
      </c>
      <c r="K61" s="142">
        <f>IF(K54&gt;=$B$61,HLOOKUP(K54,Titrisation!$B$69:$BD$75,7),0)</f>
        <v>0</v>
      </c>
      <c r="L61" s="142">
        <f>IF(L54&gt;=$B$61,HLOOKUP(L54,Titrisation!$B$69:$BD$75,7),0)</f>
        <v>0</v>
      </c>
      <c r="M61" s="142">
        <f>IF(M54&gt;=$B$61,HLOOKUP(M54,Titrisation!$B$69:$BD$75,7),0)</f>
        <v>0</v>
      </c>
      <c r="N61" s="142">
        <f>IF(N54&gt;=$B$61,HLOOKUP(N54,Titrisation!$B$69:$BD$75,7),0)</f>
        <v>0</v>
      </c>
      <c r="O61" s="142">
        <f>IF(O54&gt;=$B$61,HLOOKUP(O54,Titrisation!$B$69:$BD$75,7),0)</f>
        <v>0</v>
      </c>
      <c r="P61" s="142">
        <f>IF(P54&gt;=$B$61,HLOOKUP(P54,Titrisation!$B$69:$BD$75,7),0)</f>
        <v>0</v>
      </c>
      <c r="Q61" s="142">
        <f>IF(Q54&gt;=$B$61,HLOOKUP(Q54,Titrisation!$B$69:$BD$75,7),0)</f>
        <v>0</v>
      </c>
      <c r="R61" s="142">
        <f>IF(R54&gt;=$B$61,HLOOKUP(R54,Titrisation!$B$69:$BD$75,7),0)</f>
        <v>0</v>
      </c>
      <c r="S61" s="142">
        <f>IF(S54&gt;=$B$61,HLOOKUP(S54,Titrisation!$B$69:$BD$75,7),0)</f>
        <v>27995</v>
      </c>
      <c r="T61" s="142">
        <f>IF(T54&gt;=$B$61,HLOOKUP(T54,Titrisation!$B$69:$BD$75,7),0)</f>
        <v>28070</v>
      </c>
      <c r="U61" s="142">
        <f>IF(U54&gt;=$B$61,HLOOKUP(U54,Titrisation!$B$69:$BD$75,7),0)</f>
        <v>28070</v>
      </c>
      <c r="V61" s="142">
        <f>IF(V54&gt;=$B$61,HLOOKUP(V54,Titrisation!$B$69:$BD$75,7),0)</f>
        <v>28146.125</v>
      </c>
      <c r="W61" s="142">
        <f>IF(W54&gt;=$B$61,HLOOKUP(W54,Titrisation!$B$69:$BD$75,7),0)</f>
        <v>28223.391874999998</v>
      </c>
      <c r="X61" s="142">
        <f>IF(X54&gt;=$B$61,HLOOKUP(X54,Titrisation!$B$69:$BD$75,7),0)</f>
        <v>28301.817753124997</v>
      </c>
      <c r="Y61" s="142">
        <f>IF(Y54&gt;=$B$61,HLOOKUP(Y54,Titrisation!$B$69:$BD$75,7),0)</f>
        <v>28381.420019421872</v>
      </c>
      <c r="Z61" s="142">
        <f>IF(Z54&gt;=$B$61,HLOOKUP(Z54,Titrisation!$B$69:$BD$75,7),0)</f>
        <v>16338.216319713199</v>
      </c>
      <c r="AA61" s="142">
        <f>IF(AA54&gt;=$B$61,HLOOKUP(AA54,Titrisation!$B$69:$BD$75,7),0)</f>
        <v>16420.224564508895</v>
      </c>
      <c r="AB61" s="142">
        <f>IF(AB54&gt;=$B$61,HLOOKUP(AB54,Titrisation!$B$69:$BD$75,7),0)</f>
        <v>78832.46293297653</v>
      </c>
      <c r="AC61" s="142">
        <f>IF(AC54&gt;=$B$61,HLOOKUP(AC54,Titrisation!$B$69:$BD$75,7),0)</f>
        <v>80080.949876971179</v>
      </c>
      <c r="AD61" s="142">
        <f>IF(AD54&gt;=$B$61,HLOOKUP(AD54,Titrisation!$B$69:$BD$75,7),0)</f>
        <v>81353.984125125746</v>
      </c>
      <c r="AE61" s="142">
        <f>IF(AE54&gt;=$B$61,HLOOKUP(AE54,Titrisation!$B$69:$BD$75,7),0)</f>
        <v>82652.050287002639</v>
      </c>
      <c r="AF61" s="142">
        <f>IF(AF54&gt;=$B$61,HLOOKUP(AF54,Titrisation!$B$69:$BD$75,7),0)</f>
        <v>83975.642569307674</v>
      </c>
      <c r="AG61" s="142">
        <f>IF(AG54&gt;=$B$61,HLOOKUP(AG54,Titrisation!$B$69:$BD$75,7),0)</f>
        <v>85325.264966407296</v>
      </c>
      <c r="AH61" s="142">
        <f>IF(AH54&gt;=$B$61,HLOOKUP(AH54,Titrisation!$B$69:$BD$75,7),0)</f>
        <v>86701.431454634614</v>
      </c>
      <c r="AI61" s="142">
        <f>IF(AI54&gt;=$B$61,HLOOKUP(AI54,Titrisation!$B$69:$BD$75,7),0)</f>
        <v>88104.666190459946</v>
      </c>
      <c r="AJ61" s="142">
        <f>IF(AJ54&gt;=$B$61,HLOOKUP(AJ54,Titrisation!$B$69:$BD$75,7),0)</f>
        <v>89535.503712602789</v>
      </c>
      <c r="AK61" s="142">
        <f>IF(AK54&gt;=$B$61,HLOOKUP(AK54,Titrisation!$B$69:$BD$75,7),0)</f>
        <v>90994.489148163499</v>
      </c>
      <c r="AL61" s="142">
        <f>IF(AL54&gt;=$B$61,HLOOKUP(AL54,Titrisation!$B$69:$BD$75,7),0)</f>
        <v>92482.178422855039</v>
      </c>
      <c r="AM61" s="142">
        <f>IF(AM54&gt;=$B$61,HLOOKUP(AM54,Titrisation!$B$69:$BD$75,7),0)</f>
        <v>93999.138475416345</v>
      </c>
      <c r="AN61" s="142">
        <f>IF(AN54&gt;=$B$61,HLOOKUP(AN54,Titrisation!$B$69:$BD$75,7),0)</f>
        <v>95545.947476290428</v>
      </c>
      <c r="AO61" s="142">
        <f>IF(AO54&gt;=$B$61,HLOOKUP(AO54,Titrisation!$B$69:$BD$75,7),0)</f>
        <v>97123.195050652488</v>
      </c>
      <c r="AP61" s="142">
        <f>IF(AP54&gt;=$B$61,HLOOKUP(AP54,Titrisation!$B$69:$BD$75,7),0)</f>
        <v>98731.48250587433</v>
      </c>
      <c r="AQ61" s="142">
        <f>IF(AQ54&gt;=$B$61,HLOOKUP(AQ54,Titrisation!$B$69:$BD$75,7),0)</f>
        <v>100371.42306351374</v>
      </c>
      <c r="AR61" s="142">
        <f>IF(AR54&gt;=$B$61,HLOOKUP(AR54,Titrisation!$B$69:$BD$75,7),0)</f>
        <v>102043.64209591878</v>
      </c>
      <c r="AS61" s="142">
        <f>IF(AS54&gt;=$B$61,HLOOKUP(AS54,Titrisation!$B$69:$BD$75,7),0)</f>
        <v>103748.77736753892</v>
      </c>
      <c r="AT61" s="142">
        <f>IF(AT54&gt;=$B$61,HLOOKUP(AT54,Titrisation!$B$69:$BD$75,7),0)</f>
        <v>105487.47928103698</v>
      </c>
      <c r="AU61" s="142">
        <f>IF(AU54&gt;=$B$61,HLOOKUP(AU54,Titrisation!$B$69:$BD$75,7),0)</f>
        <v>107260.41112829727</v>
      </c>
      <c r="AV61" s="142">
        <f>IF(AV54&gt;=$B$61,HLOOKUP(AV54,Titrisation!$B$69:$BD$75,7),0)</f>
        <v>109068.24934642731</v>
      </c>
      <c r="AW61" s="142">
        <f>IF(AW54&gt;=$B$61,HLOOKUP(AW54,Titrisation!$B$69:$BD$75,7),0)</f>
        <v>110911.68377885343</v>
      </c>
      <c r="AX61" s="142">
        <f>IF(AX54&gt;=$B$61,HLOOKUP(AX54,Titrisation!$B$69:$BD$75,7),0)</f>
        <v>112791.4179416105</v>
      </c>
      <c r="AY61" s="142">
        <f>IF(AY54&gt;=$B$61,HLOOKUP(AY54,Titrisation!$B$69:$BD$75,7),0)</f>
        <v>114708.16929493046</v>
      </c>
      <c r="AZ61" s="142">
        <f>IF(AZ54&gt;=$B$61,HLOOKUP(AZ54,Titrisation!$B$69:$BD$75,7),0)</f>
        <v>116662.66952023412</v>
      </c>
      <c r="BA61" s="142">
        <f>IF(BA54&gt;=$B$61,HLOOKUP(BA54,Titrisation!$B$69:$BD$75,7),0)</f>
        <v>118655.66480263493</v>
      </c>
      <c r="BB61" s="142">
        <f>IF(BB54&gt;=$B$61,HLOOKUP(BB54,Titrisation!$B$69:$BD$75,7),0)</f>
        <v>120687.91611906368</v>
      </c>
      <c r="BC61" s="142">
        <f>IF(BC54&gt;=$B$61,HLOOKUP(BC54,Titrisation!$B$69:$BD$75,7),0)</f>
        <v>122760.19953212666</v>
      </c>
      <c r="BD61" s="142">
        <f>IF(BD54&gt;=$B$61,HLOOKUP(BD54,Titrisation!$B$69:$BD$75,7),0)</f>
        <v>124873.30648981112</v>
      </c>
      <c r="BE61" s="142">
        <f>IF(BE54&gt;=$B$61,HLOOKUP(BE54,Titrisation!$B$69:$BD$75,7),0)</f>
        <v>127028.04413115491</v>
      </c>
      <c r="BF61" s="142">
        <f>IF(BF54&gt;=$B$61,HLOOKUP(BF54,Titrisation!$B$69:$BD$75,7),0)</f>
        <v>129225.23559799879</v>
      </c>
      <c r="BG61" s="142">
        <f>IF(BG54&gt;=$B$61,HLOOKUP(BG54,Titrisation!$B$69:$BD$75,7),0)</f>
        <v>131465.72035294285</v>
      </c>
      <c r="BH61" s="142">
        <f>IF(BH54&gt;=$B$61,HLOOKUP(BH54,Titrisation!$B$69:$BD$75,7),0)</f>
        <v>133750.35450363051</v>
      </c>
      <c r="BI61" s="142">
        <f>IF(BI54&gt;=$B$61,HLOOKUP(BI54,Titrisation!$B$69:$BD$75,7),0)</f>
        <v>136080.01113348643</v>
      </c>
      <c r="BJ61" s="142">
        <f>IF(BJ54&gt;=$B$61,HLOOKUP(BJ54,Titrisation!$B$69:$BD$75,7),0)</f>
        <v>138455.58063903617</v>
      </c>
    </row>
    <row r="62" spans="1:62" s="37" customFormat="1" outlineLevel="1" x14ac:dyDescent="0.25">
      <c r="A62" s="37" t="str">
        <f>H38</f>
        <v>BM8 : Cash to digital</v>
      </c>
      <c r="B62" s="298">
        <f>'Cash to digital'!B15</f>
        <v>44256</v>
      </c>
      <c r="C62" s="567" t="str">
        <f>IF(C54&gt;=$B$62,HLOOKUP(C54,'Cash to digital'!$B$55:$BD$62,7),"0")</f>
        <v>0</v>
      </c>
      <c r="D62" s="567" t="str">
        <f>IF(D54&gt;=$B$62,HLOOKUP(D54,'Cash to digital'!$B$55:$BD$62,7),"0")</f>
        <v>0</v>
      </c>
      <c r="E62" s="567" t="str">
        <f>IF(E54&gt;=$B$62,HLOOKUP(E54,'Cash to digital'!$B$55:$BD$62,7),"0")</f>
        <v>0</v>
      </c>
      <c r="F62" s="567" t="str">
        <f>IF(F54&gt;=$B$62,HLOOKUP(F54,'Cash to digital'!$B$55:$BD$62,7),"0")</f>
        <v>0</v>
      </c>
      <c r="G62" s="567" t="str">
        <f>IF(G54&gt;=$B$62,HLOOKUP(G54,'Cash to digital'!$B$55:$BD$62,7),"0")</f>
        <v>0</v>
      </c>
      <c r="H62" s="567" t="str">
        <f>IF(H54&gt;=$B$62,HLOOKUP(H54,'Cash to digital'!$B$55:$BD$62,7),"0")</f>
        <v>0</v>
      </c>
      <c r="I62" s="567" t="str">
        <f>IF(I54&gt;=$B$62,HLOOKUP(I54,'Cash to digital'!$B$55:$BD$62,7),"0")</f>
        <v>0</v>
      </c>
      <c r="J62" s="567" t="str">
        <f>IF(J54&gt;=$B$62,HLOOKUP(J54,'Cash to digital'!$B$55:$BD$62,7),"0")</f>
        <v>0</v>
      </c>
      <c r="K62" s="567" t="str">
        <f>IF(K54&gt;=$B$62,HLOOKUP(K54,'Cash to digital'!$B$55:$BD$62,7),"0")</f>
        <v>0</v>
      </c>
      <c r="L62" s="567" t="str">
        <f>IF(L54&gt;=$B$62,HLOOKUP(L54,'Cash to digital'!$B$55:$BD$62,7),"0")</f>
        <v>0</v>
      </c>
      <c r="M62" s="567" t="str">
        <f>IF(M54&gt;=$B$62,HLOOKUP(M54,'Cash to digital'!$B$55:$BD$62,7),"0")</f>
        <v>0</v>
      </c>
      <c r="N62" s="567" t="str">
        <f>IF(N54&gt;=$B$62,HLOOKUP(N54,'Cash to digital'!$B$55:$BD$62,7),"0")</f>
        <v>0</v>
      </c>
      <c r="O62" s="567" t="str">
        <f>IF(O54&gt;=$B$62,HLOOKUP(O54,'Cash to digital'!$B$55:$BD$62,7),"0")</f>
        <v>0</v>
      </c>
      <c r="P62" s="567" t="str">
        <f>IF(P54&gt;=$B$62,HLOOKUP(P54,'Cash to digital'!$B$55:$BD$62,7),"0")</f>
        <v>0</v>
      </c>
      <c r="Q62" s="567">
        <f>IF(Q54&gt;=$B$62,HLOOKUP(Q54,'Cash to digital'!$B$55:$BD$62,7),"0")</f>
        <v>5471</v>
      </c>
      <c r="R62" s="567">
        <f>IF(R54&gt;=$B$62,HLOOKUP(R54,'Cash to digital'!$B$55:$BD$62,7),"0")</f>
        <v>5474</v>
      </c>
      <c r="S62" s="567">
        <f>IF(S54&gt;=$B$62,HLOOKUP(S54,'Cash to digital'!$B$55:$BD$62,7),"0")</f>
        <v>5474</v>
      </c>
      <c r="T62" s="567">
        <f>IF(T54&gt;=$B$62,HLOOKUP(T54,'Cash to digital'!$B$55:$BD$62,7),"0")</f>
        <v>5939.0450000000001</v>
      </c>
      <c r="U62" s="567">
        <f>IF(U54&gt;=$B$62,HLOOKUP(U54,'Cash to digital'!$B$55:$BD$62,7),"0")</f>
        <v>1764.0356750000001</v>
      </c>
      <c r="V62" s="567">
        <f>IF(V54&gt;=$B$62,HLOOKUP(V54,'Cash to digital'!$B$55:$BD$62,7),"0")</f>
        <v>1772.6627101250001</v>
      </c>
      <c r="W62" s="567">
        <f>IF(W54&gt;=$B$62,HLOOKUP(W54,'Cash to digital'!$B$55:$BD$62,7),"0")</f>
        <v>1781.8858007768749</v>
      </c>
      <c r="X62" s="567">
        <f>IF(X54&gt;=$B$62,HLOOKUP(X54,'Cash to digital'!$B$55:$BD$62,7),"0")</f>
        <v>1791.760552788528</v>
      </c>
      <c r="Y62" s="567">
        <f>IF(Y54&gt;=$B$62,HLOOKUP(Y54,'Cash to digital'!$B$55:$BD$62,7),"0")</f>
        <v>1802.3480725803558</v>
      </c>
      <c r="Z62" s="567">
        <f>IF(Z54&gt;=$B$62,HLOOKUP(Z54,'Cash to digital'!$B$55:$BD$62,7),"0")</f>
        <v>1813.7155163190612</v>
      </c>
      <c r="AA62" s="567">
        <f>IF(AA54&gt;=$B$62,HLOOKUP(AA54,'Cash to digital'!$B$55:$BD$62,7),"0")</f>
        <v>1825.936693978847</v>
      </c>
      <c r="AB62" s="567">
        <f>IF(AB54&gt;=$B$62,HLOOKUP(AB54,'Cash to digital'!$B$55:$BD$62,7),"0")</f>
        <v>1839.0927337950297</v>
      </c>
      <c r="AC62" s="567">
        <f>IF(AC54&gt;=$B$62,HLOOKUP(AC54,'Cash to digital'!$B$55:$BD$62,7),"0")</f>
        <v>1853.2728131491053</v>
      </c>
      <c r="AD62" s="567">
        <f>IF(AD54&gt;=$B$62,HLOOKUP(AD54,'Cash to digital'!$B$55:$BD$62,7),"0")</f>
        <v>1868.5749625282069</v>
      </c>
      <c r="AE62" s="567">
        <f>IF(AE54&gt;=$B$62,HLOOKUP(AE54,'Cash to digital'!$B$55:$BD$62,7),"0")</f>
        <v>1885.1069498661814</v>
      </c>
      <c r="AF62" s="567">
        <f>IF(AF54&gt;=$B$62,HLOOKUP(AF54,'Cash to digital'!$B$55:$BD$62,7),"0")</f>
        <v>1902.9872533042305</v>
      </c>
      <c r="AG62" s="567">
        <f>IF(AG54&gt;=$B$62,HLOOKUP(AG54,'Cash to digital'!$B$55:$BD$62,7),"0")</f>
        <v>1922.3461312128563</v>
      </c>
      <c r="AH62" s="567">
        <f>IF(AH54&gt;=$B$62,HLOOKUP(AH54,'Cash to digital'!$B$55:$BD$62,7),"0")</f>
        <v>1943.3267992010178</v>
      </c>
      <c r="AI62" s="567">
        <f>IF(AI54&gt;=$B$62,HLOOKUP(AI54,'Cash to digital'!$B$55:$BD$62,7),"0")</f>
        <v>1966.0867248109985</v>
      </c>
      <c r="AJ62" s="567">
        <f>IF(AJ54&gt;=$B$62,HLOOKUP(AJ54,'Cash to digital'!$B$55:$BD$62,7),"0")</f>
        <v>1990.7990516673253</v>
      </c>
      <c r="AK62" s="567">
        <f>IF(AK54&gt;=$B$62,HLOOKUP(AK54,'Cash to digital'!$B$55:$BD$62,7),"0")</f>
        <v>2017.6541660249134</v>
      </c>
      <c r="AL62" s="567">
        <f>IF(AL54&gt;=$B$62,HLOOKUP(AL54,'Cash to digital'!$B$55:$BD$62,7),"0")</f>
        <v>2046.8614199561227</v>
      </c>
      <c r="AM62" s="567">
        <f>IF(AM54&gt;=$B$62,HLOOKUP(AM54,'Cash to digital'!$B$55:$BD$62,7),"0")</f>
        <v>2078.651026840384</v>
      </c>
      <c r="AN62" s="567">
        <f>IF(AN54&gt;=$B$62,HLOOKUP(AN54,'Cash to digital'!$B$55:$BD$62,7),"0")</f>
        <v>2113.2761463864017</v>
      </c>
      <c r="AO62" s="567">
        <f>IF(AO54&gt;=$B$62,HLOOKUP(AO54,'Cash to digital'!$B$55:$BD$62,7),"0")</f>
        <v>2151.0151781399504</v>
      </c>
      <c r="AP62" s="567">
        <f>IF(AP54&gt;=$B$62,HLOOKUP(AP54,'Cash to digital'!$B$55:$BD$62,7),"0")</f>
        <v>2192.1742843255774</v>
      </c>
      <c r="AQ62" s="567">
        <f>IF(AQ54&gt;=$B$62,HLOOKUP(AQ54,'Cash to digital'!$B$55:$BD$62,7),"0")</f>
        <v>2237.0901649553416</v>
      </c>
      <c r="AR62" s="567">
        <f>IF(AR54&gt;=$B$62,HLOOKUP(AR54,'Cash to digital'!$B$55:$BD$62,7),"0")</f>
        <v>2286.1331104310402</v>
      </c>
      <c r="AS62" s="567">
        <f>IF(AS54&gt;=$B$62,HLOOKUP(AS54,'Cash to digital'!$B$55:$BD$62,7),"0")</f>
        <v>2339.7103593890115</v>
      </c>
      <c r="AT62" s="567">
        <f>IF(AT54&gt;=$B$62,HLOOKUP(AT54,'Cash to digital'!$B$55:$BD$62,7),"0")</f>
        <v>2398.2697923115034</v>
      </c>
      <c r="AU62" s="567">
        <f>IF(AU54&gt;=$B$62,HLOOKUP(AU54,'Cash to digital'!$B$55:$BD$62,7),"0")</f>
        <v>2462.3039944809975</v>
      </c>
      <c r="AV62" s="567">
        <f>IF(AV54&gt;=$B$62,HLOOKUP(AV54,'Cash to digital'!$B$55:$BD$62,7),"0")</f>
        <v>2532.3547252115168</v>
      </c>
      <c r="AW62" s="567">
        <f>IF(AW54&gt;=$B$62,HLOOKUP(AW54,'Cash to digital'!$B$55:$BD$62,7),"0")</f>
        <v>2609.0178339843237</v>
      </c>
      <c r="AX62" s="567">
        <f>IF(AX54&gt;=$B$62,HLOOKUP(AX54,'Cash to digital'!$B$55:$BD$62,7),"0")</f>
        <v>2692.9486681781864</v>
      </c>
      <c r="AY62" s="567">
        <f>IF(AY54&gt;=$B$62,HLOOKUP(AY54,'Cash to digital'!$B$55:$BD$62,7),"0")</f>
        <v>2784.8680215533668</v>
      </c>
      <c r="AZ62" s="567">
        <f>IF(AZ54&gt;=$B$62,HLOOKUP(AZ54,'Cash to digital'!$B$55:$BD$62,7),"0")</f>
        <v>2885.5686775644258</v>
      </c>
      <c r="BA62" s="567">
        <f>IF(BA54&gt;=$B$62,HLOOKUP(BA54,'Cash to digital'!$B$55:$BD$62,7),"0")</f>
        <v>2995.9226069844262</v>
      </c>
      <c r="BB62" s="567">
        <f>IF(BB54&gt;=$B$62,HLOOKUP(BB54,'Cash to digital'!$B$55:$BD$62,7),"0")</f>
        <v>3116.8888852713808</v>
      </c>
      <c r="BC62" s="567">
        <f>IF(BC54&gt;=$B$62,HLOOKUP(BC54,'Cash to digital'!$B$55:$BD$62,7),"0")</f>
        <v>3249.5224016508582</v>
      </c>
      <c r="BD62" s="567">
        <f>IF(BD54&gt;=$B$62,HLOOKUP(BD54,'Cash to digital'!$B$55:$BD$62,7),"0")</f>
        <v>3394.9834390860678</v>
      </c>
      <c r="BE62" s="567">
        <f>IF(BE54&gt;=$B$62,HLOOKUP(BE54,'Cash to digital'!$B$55:$BD$62,7),"0")</f>
        <v>3554.5482122238504</v>
      </c>
      <c r="BF62" s="567">
        <f>IF(BF54&gt;=$B$62,HLOOKUP(BF54,'Cash to digital'!$B$55:$BD$62,7),"0")</f>
        <v>3729.6204591138494</v>
      </c>
      <c r="BG62" s="567">
        <f>IF(BG54&gt;=$B$62,HLOOKUP(BG54,'Cash to digital'!$B$55:$BD$62,7),"0")</f>
        <v>3921.7441920778629</v>
      </c>
      <c r="BH62" s="567">
        <f>IF(BH54&gt;=$B$62,HLOOKUP(BH54,'Cash to digital'!$B$55:$BD$62,7),"0")</f>
        <v>4132.6177236440662</v>
      </c>
      <c r="BI62" s="567">
        <f>IF(BI54&gt;=$B$62,HLOOKUP(BI54,'Cash to digital'!$B$55:$BD$62,7),"0")</f>
        <v>4364.1090950522657</v>
      </c>
      <c r="BJ62" s="567">
        <f>IF(BJ54&gt;=$B$62,HLOOKUP(BJ54,'Cash to digital'!$B$55:$BD$62,7),"0")</f>
        <v>4618.2730475869448</v>
      </c>
    </row>
    <row r="63" spans="1:62" x14ac:dyDescent="0.25">
      <c r="A63" s="129" t="s">
        <v>83</v>
      </c>
      <c r="B63" s="2"/>
      <c r="C63" s="139">
        <f>SUM(C55:C62)</f>
        <v>4796.2</v>
      </c>
      <c r="D63" s="139">
        <f t="shared" ref="D63:BJ63" si="17">SUM(D55:D62)</f>
        <v>5042.2</v>
      </c>
      <c r="E63" s="139">
        <f t="shared" si="17"/>
        <v>5192.4000000000005</v>
      </c>
      <c r="F63" s="139">
        <f t="shared" si="17"/>
        <v>9462.5999999999985</v>
      </c>
      <c r="G63" s="139">
        <f t="shared" si="17"/>
        <v>9694.7999999999993</v>
      </c>
      <c r="H63" s="139">
        <f t="shared" si="17"/>
        <v>9720</v>
      </c>
      <c r="I63" s="139">
        <f t="shared" si="17"/>
        <v>9745.1999999999989</v>
      </c>
      <c r="J63" s="139">
        <f t="shared" si="17"/>
        <v>16130.8</v>
      </c>
      <c r="K63" s="139">
        <f t="shared" si="17"/>
        <v>20415.599999999999</v>
      </c>
      <c r="L63" s="139">
        <f t="shared" si="17"/>
        <v>33036.199999999997</v>
      </c>
      <c r="M63" s="139">
        <f t="shared" si="17"/>
        <v>47234.2</v>
      </c>
      <c r="N63" s="139">
        <f t="shared" si="17"/>
        <v>65881.8</v>
      </c>
      <c r="O63" s="139">
        <f t="shared" si="17"/>
        <v>67450.172000000006</v>
      </c>
      <c r="P63" s="139">
        <f t="shared" si="17"/>
        <v>89337.992346666666</v>
      </c>
      <c r="Q63" s="139">
        <f t="shared" si="17"/>
        <v>106467.18790026667</v>
      </c>
      <c r="R63" s="139">
        <f t="shared" si="17"/>
        <v>131375.86616493866</v>
      </c>
      <c r="S63" s="139">
        <f t="shared" si="17"/>
        <v>161054.7017949041</v>
      </c>
      <c r="T63" s="139">
        <f t="shared" si="17"/>
        <v>173227.20181246888</v>
      </c>
      <c r="U63" s="139">
        <f t="shared" si="17"/>
        <v>170878.96313850989</v>
      </c>
      <c r="V63" s="139">
        <f t="shared" si="17"/>
        <v>172770.28548681867</v>
      </c>
      <c r="W63" s="139">
        <f t="shared" si="17"/>
        <v>152262.97243610997</v>
      </c>
      <c r="X63" s="139">
        <f t="shared" si="17"/>
        <v>154153.83956738046</v>
      </c>
      <c r="Y63" s="139">
        <f t="shared" si="17"/>
        <v>193720.88868987645</v>
      </c>
      <c r="Z63" s="139">
        <f t="shared" si="17"/>
        <v>186860.8851240185</v>
      </c>
      <c r="AA63" s="139">
        <f t="shared" si="17"/>
        <v>193224.71854771895</v>
      </c>
      <c r="AB63" s="139">
        <f t="shared" si="17"/>
        <v>330452.04413561552</v>
      </c>
      <c r="AC63" s="139">
        <f t="shared" si="17"/>
        <v>341988.0017611201</v>
      </c>
      <c r="AD63" s="139">
        <f t="shared" si="17"/>
        <v>355123.60077289963</v>
      </c>
      <c r="AE63" s="139">
        <f t="shared" si="17"/>
        <v>379401.0997218102</v>
      </c>
      <c r="AF63" s="139">
        <f t="shared" si="17"/>
        <v>379864.54346348904</v>
      </c>
      <c r="AG63" s="139">
        <f t="shared" si="17"/>
        <v>401627.45967369777</v>
      </c>
      <c r="AH63" s="139">
        <f t="shared" si="17"/>
        <v>405355.8003643562</v>
      </c>
      <c r="AI63" s="139">
        <f t="shared" si="17"/>
        <v>426866.94982472714</v>
      </c>
      <c r="AJ63" s="139">
        <f t="shared" si="17"/>
        <v>511325.04792561702</v>
      </c>
      <c r="AK63" s="139">
        <f t="shared" si="17"/>
        <v>540785.83069144248</v>
      </c>
      <c r="AL63" s="139">
        <f t="shared" si="17"/>
        <v>573189.2933903659</v>
      </c>
      <c r="AM63" s="139">
        <f t="shared" si="17"/>
        <v>618776.69300250523</v>
      </c>
      <c r="AN63" s="139">
        <f t="shared" si="17"/>
        <v>665381.42652948492</v>
      </c>
      <c r="AO63" s="139">
        <f t="shared" si="17"/>
        <v>716863.00822799059</v>
      </c>
      <c r="AP63" s="139">
        <f t="shared" si="17"/>
        <v>784031.44141030055</v>
      </c>
      <c r="AQ63" s="139">
        <f t="shared" si="17"/>
        <v>847408.35908455984</v>
      </c>
      <c r="AR63" s="139">
        <f t="shared" si="17"/>
        <v>917615.56601831119</v>
      </c>
      <c r="AS63" s="139">
        <f t="shared" si="17"/>
        <v>995414.88038205996</v>
      </c>
      <c r="AT63" s="139">
        <f t="shared" si="17"/>
        <v>1081824.5142770817</v>
      </c>
      <c r="AU63" s="139">
        <f t="shared" si="17"/>
        <v>1187837.2831578813</v>
      </c>
      <c r="AV63" s="139">
        <f t="shared" si="17"/>
        <v>1294465.996455892</v>
      </c>
      <c r="AW63" s="139">
        <f t="shared" si="17"/>
        <v>1413141.458337965</v>
      </c>
      <c r="AX63" s="139">
        <f t="shared" si="17"/>
        <v>1555263.6018890832</v>
      </c>
      <c r="AY63" s="139">
        <f t="shared" si="17"/>
        <v>1702246.8564354118</v>
      </c>
      <c r="AZ63" s="139">
        <f t="shared" si="17"/>
        <v>1876378.3228362349</v>
      </c>
      <c r="BA63" s="139">
        <f t="shared" si="17"/>
        <v>2080838.6531482055</v>
      </c>
      <c r="BB63" s="139">
        <f t="shared" si="17"/>
        <v>2298572.9986394877</v>
      </c>
      <c r="BC63" s="139">
        <f t="shared" si="17"/>
        <v>2542132.2917773481</v>
      </c>
      <c r="BD63" s="139">
        <f t="shared" si="17"/>
        <v>2815253.2410173174</v>
      </c>
      <c r="BE63" s="139">
        <f t="shared" si="17"/>
        <v>3121697.4310682938</v>
      </c>
      <c r="BF63" s="139">
        <f t="shared" si="17"/>
        <v>3475842.8037426178</v>
      </c>
      <c r="BG63" s="139">
        <f t="shared" si="17"/>
        <v>3862946.4222268909</v>
      </c>
      <c r="BH63" s="139">
        <f t="shared" si="17"/>
        <v>4308914.8336002696</v>
      </c>
      <c r="BI63" s="139">
        <f t="shared" si="17"/>
        <v>4800697.1632924592</v>
      </c>
      <c r="BJ63" s="139">
        <f t="shared" si="17"/>
        <v>5356662.2857130114</v>
      </c>
    </row>
    <row r="64" spans="1:62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62" x14ac:dyDescent="0.25">
      <c r="A65" s="27" t="s">
        <v>56</v>
      </c>
      <c r="B65" s="27"/>
      <c r="C65" s="76">
        <f t="shared" ref="C65:AH65" si="18">C54</f>
        <v>43831</v>
      </c>
      <c r="D65" s="76">
        <f t="shared" si="18"/>
        <v>43862</v>
      </c>
      <c r="E65" s="76">
        <f t="shared" si="18"/>
        <v>43891</v>
      </c>
      <c r="F65" s="76">
        <f t="shared" si="18"/>
        <v>43922</v>
      </c>
      <c r="G65" s="76">
        <f t="shared" si="18"/>
        <v>43952</v>
      </c>
      <c r="H65" s="76">
        <f t="shared" si="18"/>
        <v>43983</v>
      </c>
      <c r="I65" s="76">
        <f t="shared" si="18"/>
        <v>44013</v>
      </c>
      <c r="J65" s="76">
        <f t="shared" si="18"/>
        <v>44044</v>
      </c>
      <c r="K65" s="76">
        <f t="shared" si="18"/>
        <v>44075</v>
      </c>
      <c r="L65" s="76">
        <f t="shared" si="18"/>
        <v>44105</v>
      </c>
      <c r="M65" s="76">
        <f t="shared" si="18"/>
        <v>44136</v>
      </c>
      <c r="N65" s="76">
        <f t="shared" si="18"/>
        <v>44166</v>
      </c>
      <c r="O65" s="76">
        <f t="shared" si="18"/>
        <v>44197</v>
      </c>
      <c r="P65" s="76">
        <f t="shared" si="18"/>
        <v>44228</v>
      </c>
      <c r="Q65" s="76">
        <f t="shared" si="18"/>
        <v>44256</v>
      </c>
      <c r="R65" s="76">
        <f t="shared" si="18"/>
        <v>44287</v>
      </c>
      <c r="S65" s="76">
        <f t="shared" si="18"/>
        <v>44317</v>
      </c>
      <c r="T65" s="76">
        <f t="shared" si="18"/>
        <v>44348</v>
      </c>
      <c r="U65" s="76">
        <f t="shared" si="18"/>
        <v>44378</v>
      </c>
      <c r="V65" s="76">
        <f t="shared" si="18"/>
        <v>44409</v>
      </c>
      <c r="W65" s="76">
        <f t="shared" si="18"/>
        <v>44440</v>
      </c>
      <c r="X65" s="76">
        <f t="shared" si="18"/>
        <v>44470</v>
      </c>
      <c r="Y65" s="76">
        <f t="shared" si="18"/>
        <v>44501</v>
      </c>
      <c r="Z65" s="76">
        <f t="shared" si="18"/>
        <v>44531</v>
      </c>
      <c r="AA65" s="76">
        <f t="shared" si="18"/>
        <v>44562</v>
      </c>
      <c r="AB65" s="76">
        <f t="shared" si="18"/>
        <v>44593</v>
      </c>
      <c r="AC65" s="76">
        <f t="shared" si="18"/>
        <v>44621</v>
      </c>
      <c r="AD65" s="76">
        <f t="shared" si="18"/>
        <v>44652</v>
      </c>
      <c r="AE65" s="76">
        <f t="shared" si="18"/>
        <v>44682</v>
      </c>
      <c r="AF65" s="76">
        <f t="shared" si="18"/>
        <v>44713</v>
      </c>
      <c r="AG65" s="76">
        <f t="shared" si="18"/>
        <v>44743</v>
      </c>
      <c r="AH65" s="76">
        <f t="shared" si="18"/>
        <v>44774</v>
      </c>
      <c r="AI65" s="76">
        <f t="shared" ref="AI65:BJ65" si="19">AI54</f>
        <v>44805</v>
      </c>
      <c r="AJ65" s="76">
        <f t="shared" si="19"/>
        <v>44835</v>
      </c>
      <c r="AK65" s="76">
        <f t="shared" si="19"/>
        <v>44866</v>
      </c>
      <c r="AL65" s="76">
        <f t="shared" si="19"/>
        <v>44896</v>
      </c>
      <c r="AM65" s="76">
        <f t="shared" si="19"/>
        <v>44927</v>
      </c>
      <c r="AN65" s="76">
        <f t="shared" si="19"/>
        <v>44958</v>
      </c>
      <c r="AO65" s="76">
        <f t="shared" si="19"/>
        <v>44986</v>
      </c>
      <c r="AP65" s="76">
        <f t="shared" si="19"/>
        <v>45017</v>
      </c>
      <c r="AQ65" s="76">
        <f t="shared" si="19"/>
        <v>45047</v>
      </c>
      <c r="AR65" s="76">
        <f t="shared" si="19"/>
        <v>45078</v>
      </c>
      <c r="AS65" s="76">
        <f t="shared" si="19"/>
        <v>45108</v>
      </c>
      <c r="AT65" s="76">
        <f t="shared" si="19"/>
        <v>45139</v>
      </c>
      <c r="AU65" s="76">
        <f t="shared" si="19"/>
        <v>45170</v>
      </c>
      <c r="AV65" s="76">
        <f t="shared" si="19"/>
        <v>45200</v>
      </c>
      <c r="AW65" s="76">
        <f t="shared" si="19"/>
        <v>45231</v>
      </c>
      <c r="AX65" s="76">
        <f t="shared" si="19"/>
        <v>45261</v>
      </c>
      <c r="AY65" s="76">
        <f t="shared" si="19"/>
        <v>45292</v>
      </c>
      <c r="AZ65" s="76">
        <f t="shared" si="19"/>
        <v>45323</v>
      </c>
      <c r="BA65" s="76">
        <f t="shared" si="19"/>
        <v>45352</v>
      </c>
      <c r="BB65" s="76">
        <f t="shared" si="19"/>
        <v>45383</v>
      </c>
      <c r="BC65" s="76">
        <f t="shared" si="19"/>
        <v>45413</v>
      </c>
      <c r="BD65" s="76">
        <f t="shared" si="19"/>
        <v>45444</v>
      </c>
      <c r="BE65" s="76">
        <f t="shared" si="19"/>
        <v>45474</v>
      </c>
      <c r="BF65" s="76">
        <f t="shared" si="19"/>
        <v>45505</v>
      </c>
      <c r="BG65" s="76">
        <f t="shared" si="19"/>
        <v>45536</v>
      </c>
      <c r="BH65" s="76">
        <f t="shared" si="19"/>
        <v>45566</v>
      </c>
      <c r="BI65" s="76">
        <f t="shared" si="19"/>
        <v>45597</v>
      </c>
      <c r="BJ65" s="76">
        <f t="shared" si="19"/>
        <v>45627</v>
      </c>
    </row>
    <row r="66" spans="1:62" outlineLevel="1" x14ac:dyDescent="0.25">
      <c r="A66" s="1" t="str">
        <f>A55</f>
        <v>BM1 : White label websites</v>
      </c>
      <c r="B66" s="238">
        <f>B55</f>
        <v>43831</v>
      </c>
      <c r="C66" s="140">
        <f t="shared" ref="C66:AH66" si="20">C44-C55</f>
        <v>-2951</v>
      </c>
      <c r="D66" s="140">
        <f t="shared" si="20"/>
        <v>-1351.8000000000002</v>
      </c>
      <c r="E66" s="140">
        <f t="shared" si="20"/>
        <v>468.19999999999982</v>
      </c>
      <c r="F66" s="140">
        <f t="shared" si="20"/>
        <v>-136.79999999999927</v>
      </c>
      <c r="G66" s="140">
        <f t="shared" si="20"/>
        <v>3296.2000000000007</v>
      </c>
      <c r="H66" s="140">
        <f t="shared" si="20"/>
        <v>6936.2000000000007</v>
      </c>
      <c r="I66" s="140">
        <f t="shared" si="20"/>
        <v>10576.2</v>
      </c>
      <c r="J66" s="140">
        <f t="shared" si="20"/>
        <v>11626.2</v>
      </c>
      <c r="K66" s="140">
        <f t="shared" si="20"/>
        <v>15559.7</v>
      </c>
      <c r="L66" s="140">
        <f t="shared" si="20"/>
        <v>14717.8</v>
      </c>
      <c r="M66" s="140">
        <f t="shared" si="20"/>
        <v>15261.400000000001</v>
      </c>
      <c r="N66" s="140">
        <f t="shared" si="20"/>
        <v>24700.800000000003</v>
      </c>
      <c r="O66" s="140">
        <f t="shared" si="20"/>
        <v>25982.065999999999</v>
      </c>
      <c r="P66" s="140">
        <f t="shared" si="20"/>
        <v>27312.574820000009</v>
      </c>
      <c r="Q66" s="140">
        <f t="shared" si="20"/>
        <v>28694.019841400012</v>
      </c>
      <c r="R66" s="140">
        <f t="shared" si="20"/>
        <v>30128.149568978013</v>
      </c>
      <c r="S66" s="140">
        <f t="shared" si="20"/>
        <v>31616.769371030074</v>
      </c>
      <c r="T66" s="140">
        <f t="shared" si="20"/>
        <v>33161.743273443346</v>
      </c>
      <c r="U66" s="140">
        <f t="shared" si="20"/>
        <v>34764.995809354674</v>
      </c>
      <c r="V66" s="140">
        <f t="shared" si="20"/>
        <v>36428.513926097497</v>
      </c>
      <c r="W66" s="140">
        <f t="shared" si="20"/>
        <v>38154.348951191845</v>
      </c>
      <c r="X66" s="140">
        <f t="shared" si="20"/>
        <v>39944.618619185261</v>
      </c>
      <c r="Y66" s="140">
        <f t="shared" si="20"/>
        <v>41801.509161207636</v>
      </c>
      <c r="Z66" s="140">
        <f t="shared" si="20"/>
        <v>43727.27745915961</v>
      </c>
      <c r="AA66" s="140">
        <f t="shared" si="20"/>
        <v>45724.253266512445</v>
      </c>
      <c r="AB66" s="140">
        <f t="shared" si="20"/>
        <v>47794.841497757443</v>
      </c>
      <c r="AC66" s="140">
        <f t="shared" si="20"/>
        <v>49941.524588604778</v>
      </c>
      <c r="AD66" s="140">
        <f t="shared" si="20"/>
        <v>52166.864929095827</v>
      </c>
      <c r="AE66" s="140">
        <f t="shared" si="20"/>
        <v>54473.507371858272</v>
      </c>
      <c r="AF66" s="140">
        <f t="shared" si="20"/>
        <v>56864.181817801378</v>
      </c>
      <c r="AG66" s="140">
        <f t="shared" si="20"/>
        <v>59341.705881618516</v>
      </c>
      <c r="AH66" s="140">
        <f t="shared" si="20"/>
        <v>61908.987639535844</v>
      </c>
      <c r="AI66" s="140">
        <f t="shared" ref="AI66:BJ66" si="21">AI44-AI55</f>
        <v>64569.028461820068</v>
      </c>
      <c r="AJ66" s="140">
        <f t="shared" si="21"/>
        <v>67324.925932634782</v>
      </c>
      <c r="AK66" s="140">
        <f t="shared" si="21"/>
        <v>70179.876859913144</v>
      </c>
      <c r="AL66" s="140">
        <f t="shared" si="21"/>
        <v>73137.180377995843</v>
      </c>
      <c r="AM66" s="140">
        <f t="shared" si="21"/>
        <v>76200.241145866705</v>
      </c>
      <c r="AN66" s="140">
        <f t="shared" si="21"/>
        <v>79372.572643904336</v>
      </c>
      <c r="AO66" s="140">
        <f t="shared" si="21"/>
        <v>82657.800572156309</v>
      </c>
      <c r="AP66" s="140">
        <f t="shared" si="21"/>
        <v>86059.666353234556</v>
      </c>
      <c r="AQ66" s="140">
        <f t="shared" si="21"/>
        <v>89582.03074302341</v>
      </c>
      <c r="AR66" s="140">
        <f t="shared" si="21"/>
        <v>93228.877552489779</v>
      </c>
      <c r="AS66" s="140">
        <f t="shared" si="21"/>
        <v>97004.317483983643</v>
      </c>
      <c r="AT66" s="140">
        <f t="shared" si="21"/>
        <v>100912.59208552069</v>
      </c>
      <c r="AU66" s="140">
        <f t="shared" si="21"/>
        <v>104958.07782664421</v>
      </c>
      <c r="AV66" s="140">
        <f t="shared" si="21"/>
        <v>109145.29029957259</v>
      </c>
      <c r="AW66" s="140">
        <f t="shared" si="21"/>
        <v>113478.8885494514</v>
      </c>
      <c r="AX66" s="140">
        <f t="shared" si="21"/>
        <v>117963.67953764442</v>
      </c>
      <c r="AY66" s="140">
        <f t="shared" si="21"/>
        <v>122604.62274211741</v>
      </c>
      <c r="AZ66" s="140">
        <f t="shared" si="21"/>
        <v>127406.83489909148</v>
      </c>
      <c r="BA66" s="140">
        <f t="shared" si="21"/>
        <v>132375.59489026899</v>
      </c>
      <c r="BB66" s="140">
        <f t="shared" si="21"/>
        <v>137516.34878006589</v>
      </c>
      <c r="BC66" s="140">
        <f t="shared" si="21"/>
        <v>142834.71500741848</v>
      </c>
      <c r="BD66" s="140">
        <f t="shared" si="21"/>
        <v>148336.48973687063</v>
      </c>
      <c r="BE66" s="140">
        <f t="shared" si="21"/>
        <v>154027.65237379097</v>
      </c>
      <c r="BF66" s="140">
        <f t="shared" si="21"/>
        <v>159914.37124871524</v>
      </c>
      <c r="BG66" s="140">
        <f t="shared" si="21"/>
        <v>166003.00947596144</v>
      </c>
      <c r="BH66" s="140">
        <f t="shared" si="21"/>
        <v>172300.13099182074</v>
      </c>
      <c r="BI66" s="140">
        <f t="shared" si="21"/>
        <v>178812.50677778741</v>
      </c>
      <c r="BJ66" s="140">
        <f t="shared" si="21"/>
        <v>185547.12127445731</v>
      </c>
    </row>
    <row r="67" spans="1:62" outlineLevel="1" x14ac:dyDescent="0.25">
      <c r="A67" s="1" t="str">
        <f>A56</f>
        <v>BM2 : WLW Side revenues</v>
      </c>
      <c r="B67" s="238">
        <f>B66</f>
        <v>43831</v>
      </c>
      <c r="C67" s="140">
        <f>'WLW Side revenues'!B88</f>
        <v>25.200000000000003</v>
      </c>
      <c r="D67" s="140">
        <f>'WLW Side revenues'!C88</f>
        <v>50.400000000000006</v>
      </c>
      <c r="E67" s="140">
        <f>'WLW Side revenues'!D88</f>
        <v>200.6</v>
      </c>
      <c r="F67" s="140">
        <f>'WLW Side revenues'!E88</f>
        <v>225.8</v>
      </c>
      <c r="G67" s="140">
        <f>'WLW Side revenues'!F88</f>
        <v>251</v>
      </c>
      <c r="H67" s="140">
        <f>'WLW Side revenues'!G88</f>
        <v>276.2</v>
      </c>
      <c r="I67" s="140">
        <f>'WLW Side revenues'!H88</f>
        <v>301.39999999999998</v>
      </c>
      <c r="J67" s="140">
        <f>'WLW Side revenues'!I88</f>
        <v>697</v>
      </c>
      <c r="K67" s="140">
        <f>'WLW Side revenues'!J88</f>
        <v>1117.8</v>
      </c>
      <c r="L67" s="140">
        <f>'WLW Side revenues'!K88</f>
        <v>1394</v>
      </c>
      <c r="M67" s="140">
        <f>'WLW Side revenues'!L88</f>
        <v>2165.6</v>
      </c>
      <c r="N67" s="140">
        <f>'WLW Side revenues'!M88</f>
        <v>13057.6</v>
      </c>
      <c r="O67" s="140">
        <f>'WLW Side revenues'!N88</f>
        <v>13545.487999999999</v>
      </c>
      <c r="P67" s="140">
        <f>'WLW Side revenues'!O88</f>
        <v>14239.548000000001</v>
      </c>
      <c r="Q67" s="140">
        <f>'WLW Side revenues'!P88</f>
        <v>25253.608</v>
      </c>
      <c r="R67" s="140">
        <f>'WLW Side revenues'!Q88</f>
        <v>25947.668000000001</v>
      </c>
      <c r="S67" s="140">
        <f>'WLW Side revenues'!R88</f>
        <v>26446.727999999999</v>
      </c>
      <c r="T67" s="140">
        <f>'WLW Side revenues'!S88</f>
        <v>37335.788</v>
      </c>
      <c r="U67" s="140">
        <f>'WLW Side revenues'!T88</f>
        <v>38154.847999999998</v>
      </c>
      <c r="V67" s="140">
        <f>'WLW Side revenues'!U88</f>
        <v>39168.90800000001</v>
      </c>
      <c r="W67" s="140">
        <f>'WLW Side revenues'!V88</f>
        <v>39542.968000000001</v>
      </c>
      <c r="X67" s="140">
        <f>'WLW Side revenues'!W88</f>
        <v>40261.934000000001</v>
      </c>
      <c r="Y67" s="140">
        <f>'WLW Side revenues'!X88</f>
        <v>51425.9</v>
      </c>
      <c r="Z67" s="140">
        <f>'WLW Side revenues'!Y88</f>
        <v>52144.866000000002</v>
      </c>
      <c r="AA67" s="140">
        <f>'WLW Side revenues'!Z88</f>
        <v>52820.728799999997</v>
      </c>
      <c r="AB67" s="140">
        <f>'WLW Side revenues'!AA88</f>
        <v>63661.938199999997</v>
      </c>
      <c r="AC67" s="140">
        <f>'WLW Side revenues'!AB88</f>
        <v>64253.147599999997</v>
      </c>
      <c r="AD67" s="140">
        <f>'WLW Side revenues'!AC88</f>
        <v>65414.357000000004</v>
      </c>
      <c r="AE67" s="140">
        <f>'WLW Side revenues'!AD88</f>
        <v>76130.566399999996</v>
      </c>
      <c r="AF67" s="140">
        <f>'WLW Side revenues'!AE88</f>
        <v>76971.775800000003</v>
      </c>
      <c r="AG67" s="140">
        <f>'WLW Side revenues'!AF88</f>
        <v>78007.985199999996</v>
      </c>
      <c r="AH67" s="140">
        <f>'WLW Side revenues'!AG88</f>
        <v>78404.194600000003</v>
      </c>
      <c r="AI67" s="140">
        <f>'WLW Side revenues'!AH88</f>
        <v>79440.40399999998</v>
      </c>
      <c r="AJ67" s="140">
        <f>'WLW Side revenues'!AI88</f>
        <v>90281.613400000002</v>
      </c>
      <c r="AK67" s="140">
        <f>'WLW Side revenues'!AJ88</f>
        <v>90997.822799999994</v>
      </c>
      <c r="AL67" s="140">
        <f>'WLW Side revenues'!AK88</f>
        <v>92034.032200000001</v>
      </c>
      <c r="AM67" s="140">
        <f>'WLW Side revenues'!AL88</f>
        <v>102831.74549279999</v>
      </c>
      <c r="AN67" s="140">
        <f>'WLW Side revenues'!AM88</f>
        <v>103546.3810205</v>
      </c>
      <c r="AO67" s="140">
        <f>'WLW Side revenues'!AN88</f>
        <v>103941.0165482</v>
      </c>
      <c r="AP67" s="140">
        <f>'WLW Side revenues'!AO88</f>
        <v>114975.6520759</v>
      </c>
      <c r="AQ67" s="140">
        <f>'WLW Side revenues'!AP88</f>
        <v>115815.28760359999</v>
      </c>
      <c r="AR67" s="140">
        <f>'WLW Side revenues'!AQ88</f>
        <v>116849.92313130001</v>
      </c>
      <c r="AS67" s="140">
        <f>'WLW Side revenues'!AR88</f>
        <v>117564.558659</v>
      </c>
      <c r="AT67" s="140">
        <f>'WLW Side revenues'!AS88</f>
        <v>118084.1941867</v>
      </c>
      <c r="AU67" s="140">
        <f>'WLW Side revenues'!AT88</f>
        <v>129118.8297144</v>
      </c>
      <c r="AV67" s="140">
        <f>'WLW Side revenues'!AU88</f>
        <v>129833.46524210001</v>
      </c>
      <c r="AW67" s="140">
        <f>'WLW Side revenues'!AV88</f>
        <v>130868.1007698</v>
      </c>
      <c r="AX67" s="140">
        <f>'WLW Side revenues'!AW88</f>
        <v>141707.7362975</v>
      </c>
      <c r="AY67" s="140">
        <f>'WLW Side revenues'!AX88</f>
        <v>142382.8319532508</v>
      </c>
      <c r="AZ67" s="140">
        <f>'WLW Side revenues'!AY88</f>
        <v>143221.46991537409</v>
      </c>
      <c r="BA67" s="140">
        <f>'WLW Side revenues'!AZ88</f>
        <v>154130.10787749739</v>
      </c>
      <c r="BB67" s="140">
        <f>'WLW Side revenues'!BA88</f>
        <v>154993.16747254104</v>
      </c>
      <c r="BC67" s="140">
        <f>'WLW Side revenues'!BB88</f>
        <v>155411.22706758461</v>
      </c>
      <c r="BD67" s="140">
        <f>'WLW Side revenues'!BC88</f>
        <v>156469.2866626282</v>
      </c>
      <c r="BE67" s="140">
        <f>'WLW Side revenues'!BD88</f>
        <v>157332.3462576718</v>
      </c>
      <c r="BF67" s="140">
        <f>'WLW Side revenues'!BE88</f>
        <v>168390.4058527154</v>
      </c>
      <c r="BG67" s="140">
        <f>'WLW Side revenues'!BF88</f>
        <v>169253.46544775899</v>
      </c>
      <c r="BH67" s="140">
        <f>'WLW Side revenues'!BG88</f>
        <v>180311.52504280259</v>
      </c>
      <c r="BI67" s="140">
        <f>'WLW Side revenues'!BH88</f>
        <v>181049.58463784619</v>
      </c>
      <c r="BJ67" s="140">
        <f>'WLW Side revenues'!BI88</f>
        <v>181912.64423288981</v>
      </c>
    </row>
    <row r="68" spans="1:62" outlineLevel="1" x14ac:dyDescent="0.25">
      <c r="A68" s="1" t="str">
        <f>A57</f>
        <v>BM3 : Advertising</v>
      </c>
      <c r="B68" s="238">
        <f>B57</f>
        <v>44287</v>
      </c>
      <c r="C68" s="140">
        <f t="shared" ref="C68:AH68" si="22">C46-C57</f>
        <v>0</v>
      </c>
      <c r="D68" s="140">
        <f t="shared" si="22"/>
        <v>0</v>
      </c>
      <c r="E68" s="140">
        <f t="shared" si="22"/>
        <v>0</v>
      </c>
      <c r="F68" s="140">
        <f t="shared" si="22"/>
        <v>0</v>
      </c>
      <c r="G68" s="140">
        <f t="shared" si="22"/>
        <v>0</v>
      </c>
      <c r="H68" s="140">
        <f t="shared" si="22"/>
        <v>0</v>
      </c>
      <c r="I68" s="140">
        <f t="shared" si="22"/>
        <v>0</v>
      </c>
      <c r="J68" s="140">
        <f t="shared" si="22"/>
        <v>0</v>
      </c>
      <c r="K68" s="140">
        <f t="shared" si="22"/>
        <v>0</v>
      </c>
      <c r="L68" s="140">
        <f t="shared" si="22"/>
        <v>0</v>
      </c>
      <c r="M68" s="140">
        <f t="shared" si="22"/>
        <v>0</v>
      </c>
      <c r="N68" s="140">
        <f t="shared" si="22"/>
        <v>0</v>
      </c>
      <c r="O68" s="140">
        <f t="shared" si="22"/>
        <v>0</v>
      </c>
      <c r="P68" s="140">
        <f t="shared" si="22"/>
        <v>0</v>
      </c>
      <c r="Q68" s="140">
        <f t="shared" si="22"/>
        <v>0</v>
      </c>
      <c r="R68" s="140">
        <f t="shared" si="22"/>
        <v>-23290</v>
      </c>
      <c r="S68" s="140">
        <f t="shared" si="22"/>
        <v>-23290</v>
      </c>
      <c r="T68" s="140">
        <f t="shared" si="22"/>
        <v>-23305</v>
      </c>
      <c r="U68" s="140">
        <f t="shared" si="22"/>
        <v>-23320.224999999999</v>
      </c>
      <c r="V68" s="140">
        <f t="shared" si="22"/>
        <v>-23335.678375</v>
      </c>
      <c r="W68" s="140">
        <f t="shared" si="22"/>
        <v>-10946.363550624999</v>
      </c>
      <c r="X68" s="140">
        <f t="shared" si="22"/>
        <v>-10962.284003884375</v>
      </c>
      <c r="Y68" s="140">
        <f t="shared" si="22"/>
        <v>72735.347632611767</v>
      </c>
      <c r="Z68" s="140">
        <f t="shared" si="22"/>
        <v>78836.761625044921</v>
      </c>
      <c r="AA68" s="140">
        <f t="shared" si="22"/>
        <v>85058.929402734808</v>
      </c>
      <c r="AB68" s="140">
        <f t="shared" si="22"/>
        <v>96308.50298602879</v>
      </c>
      <c r="AC68" s="140">
        <f t="shared" si="22"/>
        <v>122788.27850604465</v>
      </c>
      <c r="AD68" s="140">
        <f t="shared" si="22"/>
        <v>134501.4229708905</v>
      </c>
      <c r="AE68" s="140">
        <f t="shared" si="22"/>
        <v>146018.798731096</v>
      </c>
      <c r="AF68" s="140">
        <f t="shared" si="22"/>
        <v>157734.05423589225</v>
      </c>
      <c r="AG68" s="140">
        <f t="shared" si="22"/>
        <v>184651.28907585007</v>
      </c>
      <c r="AH68" s="140">
        <f t="shared" si="22"/>
        <v>196775.12831567216</v>
      </c>
      <c r="AI68" s="140">
        <f t="shared" ref="AI68:BJ68" si="23">AI46-AI57</f>
        <v>224110.80132336315</v>
      </c>
      <c r="AJ68" s="140">
        <f t="shared" si="23"/>
        <v>236664.23242389649</v>
      </c>
      <c r="AK68" s="140">
        <f t="shared" si="23"/>
        <v>249442.14515105335</v>
      </c>
      <c r="AL68" s="140">
        <f t="shared" si="23"/>
        <v>277452.18213716242</v>
      </c>
      <c r="AM68" s="140">
        <f t="shared" si="23"/>
        <v>290703.04298642627</v>
      </c>
      <c r="AN68" s="140">
        <f t="shared" si="23"/>
        <v>309089.00561138184</v>
      </c>
      <c r="AO68" s="140">
        <f t="shared" si="23"/>
        <v>342821.62131206749</v>
      </c>
      <c r="AP68" s="140">
        <f t="shared" si="23"/>
        <v>376914.11063957622</v>
      </c>
      <c r="AQ68" s="140">
        <f t="shared" si="23"/>
        <v>395327.78638795268</v>
      </c>
      <c r="AR68" s="140">
        <f t="shared" si="23"/>
        <v>429064.79473363789</v>
      </c>
      <c r="AS68" s="140">
        <f t="shared" si="23"/>
        <v>448143.92941528151</v>
      </c>
      <c r="AT68" s="140">
        <f t="shared" si="23"/>
        <v>482586.71387286589</v>
      </c>
      <c r="AU68" s="140">
        <f t="shared" si="23"/>
        <v>502417.81071253092</v>
      </c>
      <c r="AV68" s="140">
        <f t="shared" si="23"/>
        <v>537665.49259126734</v>
      </c>
      <c r="AW68" s="140">
        <f t="shared" si="23"/>
        <v>558362.18373446178</v>
      </c>
      <c r="AX68" s="140">
        <f t="shared" si="23"/>
        <v>594545.08268121956</v>
      </c>
      <c r="AY68" s="140">
        <f t="shared" si="23"/>
        <v>631256.87844163913</v>
      </c>
      <c r="AZ68" s="140">
        <f t="shared" si="23"/>
        <v>656465.1315920183</v>
      </c>
      <c r="BA68" s="140">
        <f t="shared" si="23"/>
        <v>697346.18934729113</v>
      </c>
      <c r="BB68" s="140">
        <f t="shared" si="23"/>
        <v>738964.78629802004</v>
      </c>
      <c r="BC68" s="140">
        <f t="shared" si="23"/>
        <v>780592.23808843782</v>
      </c>
      <c r="BD68" s="140">
        <f t="shared" si="23"/>
        <v>808076.86867551506</v>
      </c>
      <c r="BE68" s="140">
        <f t="shared" si="23"/>
        <v>851515.46680802258</v>
      </c>
      <c r="BF68" s="140">
        <f t="shared" si="23"/>
        <v>896019.25391315541</v>
      </c>
      <c r="BG68" s="140">
        <f t="shared" si="23"/>
        <v>941716.04900980252</v>
      </c>
      <c r="BH68" s="140">
        <f t="shared" si="23"/>
        <v>988752.7583589846</v>
      </c>
      <c r="BI68" s="140">
        <f t="shared" si="23"/>
        <v>1037298.2385620276</v>
      </c>
      <c r="BJ68" s="140">
        <f t="shared" si="23"/>
        <v>1087546.5891236442</v>
      </c>
    </row>
    <row r="69" spans="1:62" outlineLevel="1" x14ac:dyDescent="0.25">
      <c r="A69" s="1" t="str">
        <f>A58</f>
        <v>BM4 : Sponsoring marketplace</v>
      </c>
      <c r="B69" s="238">
        <f>B58</f>
        <v>44228</v>
      </c>
      <c r="C69" s="140">
        <f t="shared" ref="C69:AH69" si="24">C47-C58</f>
        <v>0</v>
      </c>
      <c r="D69" s="140">
        <f t="shared" si="24"/>
        <v>0</v>
      </c>
      <c r="E69" s="140">
        <f t="shared" si="24"/>
        <v>0</v>
      </c>
      <c r="F69" s="140">
        <f t="shared" si="24"/>
        <v>0</v>
      </c>
      <c r="G69" s="140">
        <f t="shared" si="24"/>
        <v>0</v>
      </c>
      <c r="H69" s="140">
        <f t="shared" si="24"/>
        <v>0</v>
      </c>
      <c r="I69" s="140">
        <f t="shared" si="24"/>
        <v>0</v>
      </c>
      <c r="J69" s="140">
        <f t="shared" si="24"/>
        <v>0</v>
      </c>
      <c r="K69" s="140">
        <f t="shared" si="24"/>
        <v>0</v>
      </c>
      <c r="L69" s="140">
        <f t="shared" si="24"/>
        <v>0</v>
      </c>
      <c r="M69" s="140">
        <f t="shared" si="24"/>
        <v>0</v>
      </c>
      <c r="N69" s="140">
        <f t="shared" si="24"/>
        <v>0</v>
      </c>
      <c r="O69" s="140">
        <f t="shared" si="24"/>
        <v>0</v>
      </c>
      <c r="P69" s="140">
        <f t="shared" si="24"/>
        <v>-20331.666666666668</v>
      </c>
      <c r="Q69" s="140">
        <f t="shared" si="24"/>
        <v>-20331.666666666668</v>
      </c>
      <c r="R69" s="140">
        <f t="shared" si="24"/>
        <v>-20346.666666666668</v>
      </c>
      <c r="S69" s="140">
        <f t="shared" si="24"/>
        <v>-20361.891666666666</v>
      </c>
      <c r="T69" s="140">
        <f t="shared" si="24"/>
        <v>-20377.345041666667</v>
      </c>
      <c r="U69" s="140">
        <f t="shared" si="24"/>
        <v>-20393.030217291667</v>
      </c>
      <c r="V69" s="140">
        <f t="shared" si="24"/>
        <v>-20408.950670551043</v>
      </c>
      <c r="W69" s="140">
        <f t="shared" si="24"/>
        <v>-10564.44326394264</v>
      </c>
      <c r="X69" s="140">
        <f t="shared" si="24"/>
        <v>-10580.844912901779</v>
      </c>
      <c r="Y69" s="140">
        <f t="shared" si="24"/>
        <v>61160.808776560458</v>
      </c>
      <c r="Z69" s="140">
        <f t="shared" si="24"/>
        <v>72901.06980946855</v>
      </c>
      <c r="AA69" s="140">
        <f t="shared" si="24"/>
        <v>88588.962661638609</v>
      </c>
      <c r="AB69" s="140">
        <f t="shared" si="24"/>
        <v>114908.47322795668</v>
      </c>
      <c r="AC69" s="140">
        <f t="shared" si="24"/>
        <v>144890.97050650977</v>
      </c>
      <c r="AD69" s="140">
        <f t="shared" si="24"/>
        <v>178967.97653590835</v>
      </c>
      <c r="AE69" s="140">
        <f t="shared" si="24"/>
        <v>217618.79049275775</v>
      </c>
      <c r="AF69" s="140">
        <f t="shared" si="24"/>
        <v>261375.80222182669</v>
      </c>
      <c r="AG69" s="140">
        <f t="shared" si="24"/>
        <v>310830.44675883418</v>
      </c>
      <c r="AH69" s="140">
        <f t="shared" si="24"/>
        <v>366639.89116072166</v>
      </c>
      <c r="AI69" s="140">
        <f t="shared" ref="AI69:BJ69" si="25">AI47-AI58</f>
        <v>429534.56092566601</v>
      </c>
      <c r="AJ69" s="140">
        <f t="shared" si="25"/>
        <v>500326.63254007825</v>
      </c>
      <c r="AK69" s="140">
        <f t="shared" si="25"/>
        <v>579919.64197468944</v>
      </c>
      <c r="AL69" s="140">
        <f t="shared" si="25"/>
        <v>669319.38718361082</v>
      </c>
      <c r="AM69" s="140">
        <f t="shared" si="25"/>
        <v>769646.33697261754</v>
      </c>
      <c r="AN69" s="140">
        <f t="shared" si="25"/>
        <v>903867.15189497685</v>
      </c>
      <c r="AO69" s="140">
        <f t="shared" si="25"/>
        <v>1055250.3313513184</v>
      </c>
      <c r="AP69" s="140">
        <f t="shared" si="25"/>
        <v>1225798.9822793962</v>
      </c>
      <c r="AQ69" s="140">
        <f t="shared" si="25"/>
        <v>1417750.4589611855</v>
      </c>
      <c r="AR69" s="140">
        <f t="shared" si="25"/>
        <v>1633606.3686865033</v>
      </c>
      <c r="AS69" s="140">
        <f t="shared" si="25"/>
        <v>1876167.1438334736</v>
      </c>
      <c r="AT69" s="140">
        <f t="shared" si="25"/>
        <v>2148572.0226893406</v>
      </c>
      <c r="AU69" s="140">
        <f t="shared" si="25"/>
        <v>2454345.4601993416</v>
      </c>
      <c r="AV69" s="140">
        <f t="shared" si="25"/>
        <v>2797451.2096510502</v>
      </c>
      <c r="AW69" s="140">
        <f t="shared" si="25"/>
        <v>3182355.5867737252</v>
      </c>
      <c r="AX69" s="140">
        <f t="shared" si="25"/>
        <v>3614101.7608812246</v>
      </c>
      <c r="AY69" s="140">
        <f t="shared" si="25"/>
        <v>4098397.3284261245</v>
      </c>
      <c r="AZ69" s="140">
        <f t="shared" si="25"/>
        <v>4674530.7224941356</v>
      </c>
      <c r="BA69" s="140">
        <f t="shared" si="25"/>
        <v>5322482.2437828844</v>
      </c>
      <c r="BB69" s="140">
        <f t="shared" si="25"/>
        <v>6051328.6906544417</v>
      </c>
      <c r="BC69" s="140">
        <f t="shared" si="25"/>
        <v>6871446.4353718143</v>
      </c>
      <c r="BD69" s="140">
        <f t="shared" si="25"/>
        <v>7794695.994136869</v>
      </c>
      <c r="BE69" s="140">
        <f t="shared" si="25"/>
        <v>8834713.9592020251</v>
      </c>
      <c r="BF69" s="140">
        <f t="shared" si="25"/>
        <v>10007218.478534281</v>
      </c>
      <c r="BG69" s="140">
        <f t="shared" si="25"/>
        <v>11330389.107478701</v>
      </c>
      <c r="BH69" s="140">
        <f t="shared" si="25"/>
        <v>12825326.450826989</v>
      </c>
      <c r="BI69" s="140">
        <f t="shared" si="25"/>
        <v>14516609.747198064</v>
      </c>
      <c r="BJ69" s="140">
        <f t="shared" si="25"/>
        <v>16432974.832168039</v>
      </c>
    </row>
    <row r="70" spans="1:62" outlineLevel="1" x14ac:dyDescent="0.25">
      <c r="A70" s="1" t="str">
        <f>A59</f>
        <v>BM5 : Digital goods marketplace</v>
      </c>
      <c r="B70" s="238">
        <f>B59</f>
        <v>44593</v>
      </c>
      <c r="C70" s="140">
        <f t="shared" ref="C70:AH70" si="26">C48-C59</f>
        <v>0</v>
      </c>
      <c r="D70" s="140">
        <f t="shared" si="26"/>
        <v>0</v>
      </c>
      <c r="E70" s="140">
        <f t="shared" si="26"/>
        <v>0</v>
      </c>
      <c r="F70" s="140">
        <f t="shared" si="26"/>
        <v>0</v>
      </c>
      <c r="G70" s="140">
        <f t="shared" si="26"/>
        <v>0</v>
      </c>
      <c r="H70" s="140">
        <f t="shared" si="26"/>
        <v>0</v>
      </c>
      <c r="I70" s="140">
        <f t="shared" si="26"/>
        <v>0</v>
      </c>
      <c r="J70" s="140">
        <f t="shared" si="26"/>
        <v>0</v>
      </c>
      <c r="K70" s="140">
        <f t="shared" si="26"/>
        <v>0</v>
      </c>
      <c r="L70" s="140">
        <f t="shared" si="26"/>
        <v>0</v>
      </c>
      <c r="M70" s="140">
        <f t="shared" si="26"/>
        <v>0</v>
      </c>
      <c r="N70" s="140">
        <f t="shared" si="26"/>
        <v>0</v>
      </c>
      <c r="O70" s="140">
        <f t="shared" si="26"/>
        <v>0</v>
      </c>
      <c r="P70" s="140">
        <f t="shared" si="26"/>
        <v>0</v>
      </c>
      <c r="Q70" s="140">
        <f t="shared" si="26"/>
        <v>0</v>
      </c>
      <c r="R70" s="140">
        <f t="shared" si="26"/>
        <v>0</v>
      </c>
      <c r="S70" s="140">
        <f t="shared" si="26"/>
        <v>0</v>
      </c>
      <c r="T70" s="140">
        <f t="shared" si="26"/>
        <v>0</v>
      </c>
      <c r="U70" s="140">
        <f t="shared" si="26"/>
        <v>0</v>
      </c>
      <c r="V70" s="140">
        <f t="shared" si="26"/>
        <v>0</v>
      </c>
      <c r="W70" s="140">
        <f t="shared" si="26"/>
        <v>0</v>
      </c>
      <c r="X70" s="140">
        <f t="shared" si="26"/>
        <v>0</v>
      </c>
      <c r="Y70" s="140">
        <f t="shared" si="26"/>
        <v>0</v>
      </c>
      <c r="Z70" s="140">
        <f t="shared" si="26"/>
        <v>0</v>
      </c>
      <c r="AA70" s="140">
        <f t="shared" si="26"/>
        <v>0</v>
      </c>
      <c r="AB70" s="140">
        <f t="shared" si="26"/>
        <v>-26908.333333333332</v>
      </c>
      <c r="AC70" s="140">
        <f t="shared" si="26"/>
        <v>-26908.333333333332</v>
      </c>
      <c r="AD70" s="140">
        <f t="shared" si="26"/>
        <v>-26938.333333333332</v>
      </c>
      <c r="AE70" s="140">
        <f t="shared" si="26"/>
        <v>-26968.783333333333</v>
      </c>
      <c r="AF70" s="140">
        <f t="shared" si="26"/>
        <v>-11562.356749999999</v>
      </c>
      <c r="AG70" s="140">
        <f t="shared" si="26"/>
        <v>169755.25279376569</v>
      </c>
      <c r="AH70" s="140">
        <f t="shared" si="26"/>
        <v>173360.97148514728</v>
      </c>
      <c r="AI70" s="140">
        <f t="shared" ref="AI70:BJ70" si="27">AI48-AI59</f>
        <v>177038.96375488909</v>
      </c>
      <c r="AJ70" s="140">
        <f t="shared" si="27"/>
        <v>180790.67746262628</v>
      </c>
      <c r="AK70" s="140">
        <f t="shared" si="27"/>
        <v>184617.5894610078</v>
      </c>
      <c r="AL70" s="140">
        <f t="shared" si="27"/>
        <v>188521.20617609387</v>
      </c>
      <c r="AM70" s="140">
        <f t="shared" si="27"/>
        <v>192503.06419936969</v>
      </c>
      <c r="AN70" s="140">
        <f t="shared" si="27"/>
        <v>196564.73089160738</v>
      </c>
      <c r="AO70" s="140">
        <f t="shared" si="27"/>
        <v>200707.80499881355</v>
      </c>
      <c r="AP70" s="140">
        <f t="shared" si="27"/>
        <v>204933.91728050442</v>
      </c>
      <c r="AQ70" s="140">
        <f t="shared" si="27"/>
        <v>209244.73115055484</v>
      </c>
      <c r="AR70" s="140">
        <f t="shared" si="27"/>
        <v>213641.94333087286</v>
      </c>
      <c r="AS70" s="140">
        <f t="shared" si="27"/>
        <v>218127.28451815687</v>
      </c>
      <c r="AT70" s="140">
        <f t="shared" si="27"/>
        <v>222702.52006399655</v>
      </c>
      <c r="AU70" s="140">
        <f t="shared" si="27"/>
        <v>227369.45066858514</v>
      </c>
      <c r="AV70" s="140">
        <f t="shared" si="27"/>
        <v>232129.91308831517</v>
      </c>
      <c r="AW70" s="140">
        <f t="shared" si="27"/>
        <v>236985.78085753517</v>
      </c>
      <c r="AX70" s="140">
        <f t="shared" si="27"/>
        <v>241938.96502475138</v>
      </c>
      <c r="AY70" s="140">
        <f t="shared" si="27"/>
        <v>246991.41490356284</v>
      </c>
      <c r="AZ70" s="140">
        <f t="shared" si="27"/>
        <v>252145.11883862538</v>
      </c>
      <c r="BA70" s="140">
        <f t="shared" si="27"/>
        <v>257402.10498694397</v>
      </c>
      <c r="BB70" s="140">
        <f t="shared" si="27"/>
        <v>262764.44211480219</v>
      </c>
      <c r="BC70" s="140">
        <f t="shared" si="27"/>
        <v>268234.24041063926</v>
      </c>
      <c r="BD70" s="140">
        <f t="shared" si="27"/>
        <v>273813.65231419628</v>
      </c>
      <c r="BE70" s="140">
        <f t="shared" si="27"/>
        <v>279504.87336225458</v>
      </c>
      <c r="BF70" s="140">
        <f t="shared" si="27"/>
        <v>285310.14305130066</v>
      </c>
      <c r="BG70" s="140">
        <f t="shared" si="27"/>
        <v>291231.74571745464</v>
      </c>
      <c r="BH70" s="140">
        <f t="shared" si="27"/>
        <v>297272.01143400866</v>
      </c>
      <c r="BI70" s="140">
        <f t="shared" si="27"/>
        <v>303433.31692692678</v>
      </c>
      <c r="BJ70" s="140">
        <f t="shared" si="27"/>
        <v>309718.08650866686</v>
      </c>
    </row>
    <row r="71" spans="1:62" outlineLevel="1" x14ac:dyDescent="0.25">
      <c r="A71" s="1" t="str">
        <f>A60</f>
        <v>BM6 : Media rights marketplace</v>
      </c>
      <c r="B71" s="458">
        <f>B60</f>
        <v>44593</v>
      </c>
      <c r="C71" s="140">
        <f t="shared" ref="C71:AK71" si="28">C49-C60</f>
        <v>0</v>
      </c>
      <c r="D71" s="140">
        <f t="shared" si="28"/>
        <v>0</v>
      </c>
      <c r="E71" s="140">
        <f t="shared" si="28"/>
        <v>0</v>
      </c>
      <c r="F71" s="140">
        <f t="shared" si="28"/>
        <v>0</v>
      </c>
      <c r="G71" s="140">
        <f t="shared" si="28"/>
        <v>0</v>
      </c>
      <c r="H71" s="140">
        <f t="shared" si="28"/>
        <v>0</v>
      </c>
      <c r="I71" s="140">
        <f t="shared" si="28"/>
        <v>0</v>
      </c>
      <c r="J71" s="140">
        <f t="shared" si="28"/>
        <v>0</v>
      </c>
      <c r="K71" s="140">
        <f t="shared" si="28"/>
        <v>0</v>
      </c>
      <c r="L71" s="140">
        <f t="shared" si="28"/>
        <v>0</v>
      </c>
      <c r="M71" s="140">
        <f t="shared" si="28"/>
        <v>0</v>
      </c>
      <c r="N71" s="140">
        <f t="shared" si="28"/>
        <v>0</v>
      </c>
      <c r="O71" s="140">
        <f t="shared" si="28"/>
        <v>0</v>
      </c>
      <c r="P71" s="140">
        <f t="shared" si="28"/>
        <v>0</v>
      </c>
      <c r="Q71" s="140">
        <f t="shared" si="28"/>
        <v>0</v>
      </c>
      <c r="R71" s="140">
        <f t="shared" si="28"/>
        <v>0</v>
      </c>
      <c r="S71" s="140">
        <f t="shared" si="28"/>
        <v>0</v>
      </c>
      <c r="T71" s="140">
        <f t="shared" si="28"/>
        <v>0</v>
      </c>
      <c r="U71" s="140">
        <f t="shared" si="28"/>
        <v>0</v>
      </c>
      <c r="V71" s="140">
        <f t="shared" si="28"/>
        <v>0</v>
      </c>
      <c r="W71" s="140">
        <f t="shared" si="28"/>
        <v>0</v>
      </c>
      <c r="X71" s="140">
        <f t="shared" si="28"/>
        <v>0</v>
      </c>
      <c r="Y71" s="140">
        <f t="shared" si="28"/>
        <v>0</v>
      </c>
      <c r="Z71" s="140">
        <f t="shared" si="28"/>
        <v>0</v>
      </c>
      <c r="AA71" s="140">
        <f t="shared" si="28"/>
        <v>0</v>
      </c>
      <c r="AB71" s="140">
        <f t="shared" si="28"/>
        <v>-28432</v>
      </c>
      <c r="AC71" s="140">
        <f t="shared" si="28"/>
        <v>-28432</v>
      </c>
      <c r="AD71" s="140">
        <f t="shared" si="28"/>
        <v>-28462</v>
      </c>
      <c r="AE71" s="140">
        <f t="shared" si="28"/>
        <v>-28492.45</v>
      </c>
      <c r="AF71" s="140">
        <f t="shared" si="28"/>
        <v>-28523.356749999999</v>
      </c>
      <c r="AG71" s="140">
        <f t="shared" si="28"/>
        <v>-28554.727101249999</v>
      </c>
      <c r="AH71" s="140">
        <f t="shared" si="28"/>
        <v>-13025.568007768748</v>
      </c>
      <c r="AI71" s="140">
        <f t="shared" si="28"/>
        <v>-13057.886527885279</v>
      </c>
      <c r="AJ71" s="140">
        <f t="shared" si="28"/>
        <v>29260.983648199021</v>
      </c>
      <c r="AK71" s="140">
        <f t="shared" si="28"/>
        <v>32416.495439716411</v>
      </c>
      <c r="AL71" s="140">
        <f t="shared" ref="AL71:BJ71" si="29">AL49-AL60</f>
        <v>35600.474197477553</v>
      </c>
      <c r="AM71" s="140">
        <f t="shared" si="29"/>
        <v>38815.113956056564</v>
      </c>
      <c r="AN71" s="140">
        <f t="shared" si="29"/>
        <v>43499.039271949063</v>
      </c>
      <c r="AO71" s="140">
        <f t="shared" si="29"/>
        <v>48226.198318190902</v>
      </c>
      <c r="AP71" s="140">
        <f t="shared" si="29"/>
        <v>52999.93150702829</v>
      </c>
      <c r="AQ71" s="140">
        <f t="shared" si="29"/>
        <v>57824.08137008721</v>
      </c>
      <c r="AR71" s="140">
        <f t="shared" si="29"/>
        <v>62703.067892143474</v>
      </c>
      <c r="AS71" s="140">
        <f t="shared" si="29"/>
        <v>67641.975145196266</v>
      </c>
      <c r="AT71" s="140">
        <f t="shared" si="29"/>
        <v>72646.650917894556</v>
      </c>
      <c r="AU71" s="140">
        <f t="shared" si="29"/>
        <v>77723.821289621774</v>
      </c>
      <c r="AV71" s="140">
        <f t="shared" si="29"/>
        <v>82881.222390942959</v>
      </c>
      <c r="AW71" s="140">
        <f t="shared" si="29"/>
        <v>88127.751928371028</v>
      </c>
      <c r="AX71" s="140">
        <f t="shared" si="29"/>
        <v>93473.643438104307</v>
      </c>
      <c r="AY71" s="140">
        <f t="shared" si="29"/>
        <v>98930.66667808505</v>
      </c>
      <c r="AZ71" s="140">
        <f t="shared" si="29"/>
        <v>105374.01832236419</v>
      </c>
      <c r="BA71" s="140">
        <f t="shared" si="29"/>
        <v>111961.89311735169</v>
      </c>
      <c r="BB71" s="140">
        <f t="shared" si="29"/>
        <v>118712.1956499549</v>
      </c>
      <c r="BC71" s="140">
        <f t="shared" si="29"/>
        <v>125645.77814364253</v>
      </c>
      <c r="BD71" s="140">
        <f t="shared" si="29"/>
        <v>132786.10186750762</v>
      </c>
      <c r="BE71" s="140">
        <f t="shared" si="29"/>
        <v>140160.40797081336</v>
      </c>
      <c r="BF71" s="140">
        <f t="shared" si="29"/>
        <v>147800.02509738662</v>
      </c>
      <c r="BG71" s="140">
        <f t="shared" si="29"/>
        <v>155740.98252963464</v>
      </c>
      <c r="BH71" s="140">
        <f t="shared" si="29"/>
        <v>164024.7153044625</v>
      </c>
      <c r="BI71" s="140">
        <f t="shared" si="29"/>
        <v>172698.87509687975</v>
      </c>
      <c r="BJ71" s="140">
        <f t="shared" si="29"/>
        <v>181818.26273645461</v>
      </c>
    </row>
    <row r="72" spans="1:62" s="53" customFormat="1" outlineLevel="1" x14ac:dyDescent="0.25">
      <c r="A72" s="53" t="str">
        <f>H33</f>
        <v>BM7 : Titrisation</v>
      </c>
      <c r="B72" s="458">
        <f>Titrisation!B15</f>
        <v>44317</v>
      </c>
      <c r="C72" s="142">
        <f t="shared" ref="C72:AK72" si="30">C50-C61</f>
        <v>0</v>
      </c>
      <c r="D72" s="142">
        <f t="shared" si="30"/>
        <v>0</v>
      </c>
      <c r="E72" s="142">
        <f t="shared" si="30"/>
        <v>0</v>
      </c>
      <c r="F72" s="142">
        <f t="shared" si="30"/>
        <v>0</v>
      </c>
      <c r="G72" s="142">
        <f t="shared" si="30"/>
        <v>0</v>
      </c>
      <c r="H72" s="142">
        <f t="shared" si="30"/>
        <v>0</v>
      </c>
      <c r="I72" s="142">
        <f t="shared" si="30"/>
        <v>0</v>
      </c>
      <c r="J72" s="142">
        <f t="shared" si="30"/>
        <v>0</v>
      </c>
      <c r="K72" s="142">
        <f t="shared" si="30"/>
        <v>0</v>
      </c>
      <c r="L72" s="142">
        <f t="shared" si="30"/>
        <v>0</v>
      </c>
      <c r="M72" s="142">
        <f t="shared" si="30"/>
        <v>0</v>
      </c>
      <c r="N72" s="142">
        <f t="shared" si="30"/>
        <v>0</v>
      </c>
      <c r="O72" s="142">
        <f t="shared" si="30"/>
        <v>0</v>
      </c>
      <c r="P72" s="142">
        <f t="shared" si="30"/>
        <v>0</v>
      </c>
      <c r="Q72" s="142">
        <f t="shared" si="30"/>
        <v>0</v>
      </c>
      <c r="R72" s="142">
        <f t="shared" si="30"/>
        <v>0</v>
      </c>
      <c r="S72" s="142">
        <f t="shared" si="30"/>
        <v>-27995</v>
      </c>
      <c r="T72" s="142">
        <f t="shared" si="30"/>
        <v>-28070</v>
      </c>
      <c r="U72" s="142">
        <f t="shared" si="30"/>
        <v>-28070</v>
      </c>
      <c r="V72" s="142">
        <f t="shared" si="30"/>
        <v>-28146.125</v>
      </c>
      <c r="W72" s="142">
        <f t="shared" si="30"/>
        <v>-28223.391874999998</v>
      </c>
      <c r="X72" s="142">
        <f t="shared" si="30"/>
        <v>-28301.817753124997</v>
      </c>
      <c r="Y72" s="142">
        <f t="shared" si="30"/>
        <v>-28381.420019421872</v>
      </c>
      <c r="Z72" s="142">
        <f t="shared" si="30"/>
        <v>-16338.216319713199</v>
      </c>
      <c r="AA72" s="142">
        <f t="shared" si="30"/>
        <v>-16420.224564508895</v>
      </c>
      <c r="AB72" s="142">
        <f t="shared" si="30"/>
        <v>239077.53706702346</v>
      </c>
      <c r="AC72" s="142">
        <f t="shared" si="30"/>
        <v>244187.25012302882</v>
      </c>
      <c r="AD72" s="142">
        <f t="shared" si="30"/>
        <v>249399.57987487427</v>
      </c>
      <c r="AE72" s="142">
        <f t="shared" si="30"/>
        <v>254716.58499299741</v>
      </c>
      <c r="AF72" s="142">
        <f t="shared" si="30"/>
        <v>260140.3654162923</v>
      </c>
      <c r="AG72" s="142">
        <f t="shared" si="30"/>
        <v>265673.06317890482</v>
      </c>
      <c r="AH72" s="142">
        <f t="shared" si="30"/>
        <v>271316.86325358378</v>
      </c>
      <c r="AI72" s="142">
        <f t="shared" si="30"/>
        <v>277073.99441192264</v>
      </c>
      <c r="AJ72" s="142">
        <f t="shared" si="30"/>
        <v>282946.73010182759</v>
      </c>
      <c r="AK72" s="142">
        <f t="shared" si="30"/>
        <v>288937.38934255543</v>
      </c>
      <c r="AL72" s="142">
        <f t="shared" ref="AL72:BJ72" si="31">AL50-AL61</f>
        <v>295048.33763767837</v>
      </c>
      <c r="AM72" s="142">
        <f t="shared" si="31"/>
        <v>301281.98790632765</v>
      </c>
      <c r="AN72" s="142">
        <f t="shared" si="31"/>
        <v>307640.80143308849</v>
      </c>
      <c r="AO72" s="142">
        <f t="shared" si="31"/>
        <v>314127.288836914</v>
      </c>
      <c r="AP72" s="142">
        <f t="shared" si="31"/>
        <v>320744.01105944347</v>
      </c>
      <c r="AQ72" s="142">
        <f t="shared" si="31"/>
        <v>327493.58037311048</v>
      </c>
      <c r="AR72" s="142">
        <f t="shared" si="31"/>
        <v>334378.66140943795</v>
      </c>
      <c r="AS72" s="142">
        <f t="shared" si="31"/>
        <v>341401.97220792493</v>
      </c>
      <c r="AT72" s="142">
        <f t="shared" si="31"/>
        <v>348566.28528593603</v>
      </c>
      <c r="AU72" s="142">
        <f t="shared" si="31"/>
        <v>355874.42873001535</v>
      </c>
      <c r="AV72" s="142">
        <f t="shared" si="31"/>
        <v>363329.28730905155</v>
      </c>
      <c r="AW72" s="142">
        <f t="shared" si="31"/>
        <v>370933.80360973504</v>
      </c>
      <c r="AX72" s="142">
        <f t="shared" si="31"/>
        <v>378690.97919474967</v>
      </c>
      <c r="AY72" s="142">
        <f t="shared" si="31"/>
        <v>386603.87578415696</v>
      </c>
      <c r="AZ72" s="142">
        <f t="shared" si="31"/>
        <v>394675.61646043509</v>
      </c>
      <c r="BA72" s="142">
        <f t="shared" si="31"/>
        <v>402909.38689764775</v>
      </c>
      <c r="BB72" s="142">
        <f t="shared" si="31"/>
        <v>411308.43661522464</v>
      </c>
      <c r="BC72" s="142">
        <f t="shared" si="31"/>
        <v>419876.08025684743</v>
      </c>
      <c r="BD72" s="142">
        <f t="shared" si="31"/>
        <v>428615.69889494247</v>
      </c>
      <c r="BE72" s="142">
        <f t="shared" si="31"/>
        <v>437530.74136129383</v>
      </c>
      <c r="BF72" s="142">
        <f t="shared" si="31"/>
        <v>446624.72560429893</v>
      </c>
      <c r="BG72" s="142">
        <f t="shared" si="31"/>
        <v>455901.24007340078</v>
      </c>
      <c r="BH72" s="142">
        <f t="shared" si="31"/>
        <v>465363.94513123983</v>
      </c>
      <c r="BI72" s="142">
        <f t="shared" si="31"/>
        <v>475016.57449408155</v>
      </c>
      <c r="BJ72" s="142">
        <f t="shared" si="31"/>
        <v>484862.93670108309</v>
      </c>
    </row>
    <row r="73" spans="1:62" s="37" customFormat="1" outlineLevel="1" x14ac:dyDescent="0.25">
      <c r="A73" s="37" t="str">
        <f>A62</f>
        <v>BM8 : Cash to digital</v>
      </c>
      <c r="B73" s="298">
        <f>'Cash to digital'!B15</f>
        <v>44256</v>
      </c>
      <c r="C73" s="143">
        <f>C51-C62</f>
        <v>0</v>
      </c>
      <c r="D73" s="143">
        <f t="shared" ref="D73:BJ73" si="32">D51-D62</f>
        <v>0</v>
      </c>
      <c r="E73" s="143">
        <f t="shared" si="32"/>
        <v>0</v>
      </c>
      <c r="F73" s="143">
        <f t="shared" si="32"/>
        <v>0</v>
      </c>
      <c r="G73" s="143">
        <f t="shared" si="32"/>
        <v>0</v>
      </c>
      <c r="H73" s="143">
        <f t="shared" si="32"/>
        <v>0</v>
      </c>
      <c r="I73" s="143">
        <f t="shared" si="32"/>
        <v>0</v>
      </c>
      <c r="J73" s="143">
        <f t="shared" si="32"/>
        <v>0</v>
      </c>
      <c r="K73" s="143">
        <f t="shared" si="32"/>
        <v>0</v>
      </c>
      <c r="L73" s="143">
        <f t="shared" si="32"/>
        <v>0</v>
      </c>
      <c r="M73" s="143">
        <f t="shared" si="32"/>
        <v>0</v>
      </c>
      <c r="N73" s="143">
        <f t="shared" si="32"/>
        <v>0</v>
      </c>
      <c r="O73" s="143">
        <f t="shared" si="32"/>
        <v>0</v>
      </c>
      <c r="P73" s="143">
        <f t="shared" si="32"/>
        <v>0</v>
      </c>
      <c r="Q73" s="143">
        <f t="shared" si="32"/>
        <v>-5471</v>
      </c>
      <c r="R73" s="143">
        <f t="shared" si="32"/>
        <v>-5474</v>
      </c>
      <c r="S73" s="143">
        <f t="shared" si="32"/>
        <v>-5474</v>
      </c>
      <c r="T73" s="143">
        <f t="shared" si="32"/>
        <v>-5939.0450000000001</v>
      </c>
      <c r="U73" s="143">
        <f t="shared" si="32"/>
        <v>3725.9643249999999</v>
      </c>
      <c r="V73" s="143">
        <f t="shared" si="32"/>
        <v>4266.3372898750004</v>
      </c>
      <c r="W73" s="143">
        <f t="shared" si="32"/>
        <v>4861.0141992231256</v>
      </c>
      <c r="X73" s="143">
        <f t="shared" si="32"/>
        <v>5515.4294472114734</v>
      </c>
      <c r="Y73" s="143">
        <f t="shared" si="32"/>
        <v>6235.560927419644</v>
      </c>
      <c r="Z73" s="143">
        <f t="shared" si="32"/>
        <v>7027.9843836809387</v>
      </c>
      <c r="AA73" s="143">
        <f t="shared" si="32"/>
        <v>7899.933196021153</v>
      </c>
      <c r="AB73" s="143">
        <f t="shared" si="32"/>
        <v>8859.3641452049706</v>
      </c>
      <c r="AC73" s="143">
        <f t="shared" si="32"/>
        <v>9915.0297537508923</v>
      </c>
      <c r="AD73" s="143">
        <f t="shared" si="32"/>
        <v>11076.557861061792</v>
      </c>
      <c r="AE73" s="143">
        <f t="shared" si="32"/>
        <v>12354.539156082821</v>
      </c>
      <c r="AF73" s="143">
        <f t="shared" si="32"/>
        <v>13760.62346323967</v>
      </c>
      <c r="AG73" s="143">
        <f t="shared" si="32"/>
        <v>15307.625656985434</v>
      </c>
      <c r="AH73" s="143">
        <f t="shared" si="32"/>
        <v>17009.642167817099</v>
      </c>
      <c r="AI73" s="143">
        <f t="shared" si="32"/>
        <v>18882.17913890893</v>
      </c>
      <c r="AJ73" s="143">
        <f t="shared" si="32"/>
        <v>20942.293398424597</v>
      </c>
      <c r="AK73" s="143">
        <f t="shared" si="32"/>
        <v>23208.747529076198</v>
      </c>
      <c r="AL73" s="143">
        <f t="shared" si="32"/>
        <v>25702.1804446551</v>
      </c>
      <c r="AM73" s="143">
        <f t="shared" si="32"/>
        <v>28445.295024231964</v>
      </c>
      <c r="AN73" s="143">
        <f t="shared" si="32"/>
        <v>31463.064509793185</v>
      </c>
      <c r="AO73" s="143">
        <f t="shared" si="32"/>
        <v>34782.959543657598</v>
      </c>
      <c r="AP73" s="143">
        <f t="shared" si="32"/>
        <v>38435.197909651724</v>
      </c>
      <c r="AQ73" s="143">
        <f t="shared" si="32"/>
        <v>42453.019248419681</v>
      </c>
      <c r="AR73" s="143">
        <f t="shared" si="32"/>
        <v>46872.987244281496</v>
      </c>
      <c r="AS73" s="143">
        <f t="shared" si="32"/>
        <v>51735.32203079477</v>
      </c>
      <c r="AT73" s="143">
        <f t="shared" si="32"/>
        <v>57084.265836890656</v>
      </c>
      <c r="AU73" s="143">
        <f t="shared" si="32"/>
        <v>62968.485197641385</v>
      </c>
      <c r="AV73" s="143">
        <f t="shared" si="32"/>
        <v>69441.513386123115</v>
      </c>
      <c r="AW73" s="143">
        <f t="shared" si="32"/>
        <v>76562.237088483773</v>
      </c>
      <c r="AX73" s="143">
        <f t="shared" si="32"/>
        <v>84395.43174653672</v>
      </c>
      <c r="AY73" s="143">
        <f t="shared" si="32"/>
        <v>93012.350434633016</v>
      </c>
      <c r="AZ73" s="143">
        <f t="shared" si="32"/>
        <v>102491.37162424059</v>
      </c>
      <c r="BA73" s="143">
        <f t="shared" si="32"/>
        <v>112918.71172500109</v>
      </c>
      <c r="BB73" s="143">
        <f t="shared" si="32"/>
        <v>124389.20887991272</v>
      </c>
      <c r="BC73" s="143">
        <f t="shared" si="32"/>
        <v>137007.18514005165</v>
      </c>
      <c r="BD73" s="143">
        <f t="shared" si="32"/>
        <v>150887.3948567867</v>
      </c>
      <c r="BE73" s="143">
        <f t="shared" si="32"/>
        <v>166156.06791323615</v>
      </c>
      <c r="BF73" s="143">
        <f t="shared" si="32"/>
        <v>182952.05727889217</v>
      </c>
      <c r="BG73" s="143">
        <f t="shared" si="32"/>
        <v>201428.10131972883</v>
      </c>
      <c r="BH73" s="143">
        <f t="shared" si="32"/>
        <v>221752.21233934327</v>
      </c>
      <c r="BI73" s="143">
        <f t="shared" si="32"/>
        <v>244109.20397423379</v>
      </c>
      <c r="BJ73" s="143">
        <f t="shared" si="32"/>
        <v>268702.37132862781</v>
      </c>
    </row>
    <row r="74" spans="1:62" x14ac:dyDescent="0.25">
      <c r="A74" s="129" t="s">
        <v>83</v>
      </c>
      <c r="B74" s="2"/>
      <c r="C74" s="459">
        <f>SUM(C66:C73)</f>
        <v>-2925.8</v>
      </c>
      <c r="D74" s="459">
        <f t="shared" ref="D74:BJ74" si="33">SUM(D66:D73)</f>
        <v>-1301.4000000000001</v>
      </c>
      <c r="E74" s="459">
        <f t="shared" si="33"/>
        <v>668.79999999999984</v>
      </c>
      <c r="F74" s="459">
        <f t="shared" si="33"/>
        <v>89.000000000000739</v>
      </c>
      <c r="G74" s="459">
        <f t="shared" si="33"/>
        <v>3547.2000000000007</v>
      </c>
      <c r="H74" s="459">
        <f t="shared" si="33"/>
        <v>7212.4000000000005</v>
      </c>
      <c r="I74" s="459">
        <f t="shared" si="33"/>
        <v>10877.6</v>
      </c>
      <c r="J74" s="459">
        <f t="shared" si="33"/>
        <v>12323.2</v>
      </c>
      <c r="K74" s="459">
        <f t="shared" si="33"/>
        <v>16677.5</v>
      </c>
      <c r="L74" s="459">
        <f t="shared" si="33"/>
        <v>16111.8</v>
      </c>
      <c r="M74" s="459">
        <f t="shared" si="33"/>
        <v>17427</v>
      </c>
      <c r="N74" s="459">
        <f t="shared" si="33"/>
        <v>37758.400000000001</v>
      </c>
      <c r="O74" s="459">
        <f t="shared" si="33"/>
        <v>39527.553999999996</v>
      </c>
      <c r="P74" s="459">
        <f t="shared" si="33"/>
        <v>21220.456153333344</v>
      </c>
      <c r="Q74" s="459">
        <f t="shared" si="33"/>
        <v>28144.96117473334</v>
      </c>
      <c r="R74" s="459">
        <f t="shared" si="33"/>
        <v>6965.1509023113504</v>
      </c>
      <c r="S74" s="459">
        <f t="shared" si="33"/>
        <v>-19057.394295636597</v>
      </c>
      <c r="T74" s="459">
        <f t="shared" si="33"/>
        <v>-7193.8587682233283</v>
      </c>
      <c r="U74" s="459">
        <f t="shared" si="33"/>
        <v>4862.5529170630061</v>
      </c>
      <c r="V74" s="459">
        <f t="shared" si="33"/>
        <v>7973.005170421462</v>
      </c>
      <c r="W74" s="459">
        <f t="shared" si="33"/>
        <v>32824.13246084733</v>
      </c>
      <c r="X74" s="459">
        <f t="shared" si="33"/>
        <v>35877.035396485589</v>
      </c>
      <c r="Y74" s="459">
        <f t="shared" si="33"/>
        <v>204977.70647837766</v>
      </c>
      <c r="Z74" s="459">
        <f t="shared" si="33"/>
        <v>238299.74295764085</v>
      </c>
      <c r="AA74" s="459">
        <f t="shared" si="33"/>
        <v>263672.58276239812</v>
      </c>
      <c r="AB74" s="459">
        <f t="shared" si="33"/>
        <v>515270.32379063801</v>
      </c>
      <c r="AC74" s="459">
        <f t="shared" si="33"/>
        <v>580635.86774460552</v>
      </c>
      <c r="AD74" s="459">
        <f t="shared" si="33"/>
        <v>636126.42583849747</v>
      </c>
      <c r="AE74" s="459">
        <f t="shared" si="33"/>
        <v>705851.55381145887</v>
      </c>
      <c r="AF74" s="459">
        <f t="shared" si="33"/>
        <v>786761.08945505216</v>
      </c>
      <c r="AG74" s="459">
        <f t="shared" si="33"/>
        <v>1055012.6414447087</v>
      </c>
      <c r="AH74" s="459">
        <f t="shared" si="33"/>
        <v>1152390.1106147091</v>
      </c>
      <c r="AI74" s="459">
        <f t="shared" si="33"/>
        <v>1257592.0454886844</v>
      </c>
      <c r="AJ74" s="459">
        <f t="shared" si="33"/>
        <v>1408538.088907687</v>
      </c>
      <c r="AK74" s="459">
        <f t="shared" si="33"/>
        <v>1519719.7085580116</v>
      </c>
      <c r="AL74" s="459">
        <f t="shared" si="33"/>
        <v>1656814.9803546737</v>
      </c>
      <c r="AM74" s="459">
        <f t="shared" si="33"/>
        <v>1800426.8276836965</v>
      </c>
      <c r="AN74" s="459">
        <f t="shared" si="33"/>
        <v>1975042.7472772014</v>
      </c>
      <c r="AO74" s="459">
        <f t="shared" si="33"/>
        <v>2182515.0214813184</v>
      </c>
      <c r="AP74" s="459">
        <f t="shared" si="33"/>
        <v>2420861.4691047347</v>
      </c>
      <c r="AQ74" s="459">
        <f t="shared" si="33"/>
        <v>2655490.9758379343</v>
      </c>
      <c r="AR74" s="459">
        <f t="shared" si="33"/>
        <v>2930346.6239806665</v>
      </c>
      <c r="AS74" s="459">
        <f t="shared" si="33"/>
        <v>3217786.5032938109</v>
      </c>
      <c r="AT74" s="459">
        <f t="shared" si="33"/>
        <v>3551155.2449391456</v>
      </c>
      <c r="AU74" s="459">
        <f t="shared" si="33"/>
        <v>3914776.3643387803</v>
      </c>
      <c r="AV74" s="459">
        <f t="shared" si="33"/>
        <v>4321877.3939584224</v>
      </c>
      <c r="AW74" s="459">
        <f t="shared" si="33"/>
        <v>4757674.3333115643</v>
      </c>
      <c r="AX74" s="459">
        <f t="shared" si="33"/>
        <v>5266817.2788017318</v>
      </c>
      <c r="AY74" s="459">
        <f t="shared" si="33"/>
        <v>5820179.9693635693</v>
      </c>
      <c r="AZ74" s="459">
        <f t="shared" si="33"/>
        <v>6456310.2841462847</v>
      </c>
      <c r="BA74" s="459">
        <f t="shared" si="33"/>
        <v>7191526.2326248866</v>
      </c>
      <c r="BB74" s="459">
        <f t="shared" si="33"/>
        <v>7999977.2764649624</v>
      </c>
      <c r="BC74" s="459">
        <f t="shared" si="33"/>
        <v>8901047.8994864356</v>
      </c>
      <c r="BD74" s="459">
        <f t="shared" si="33"/>
        <v>9893681.487145314</v>
      </c>
      <c r="BE74" s="459">
        <f t="shared" si="33"/>
        <v>11020941.515249109</v>
      </c>
      <c r="BF74" s="459">
        <f t="shared" si="33"/>
        <v>12294229.460580746</v>
      </c>
      <c r="BG74" s="459">
        <f t="shared" si="33"/>
        <v>13711663.701052442</v>
      </c>
      <c r="BH74" s="459">
        <f t="shared" si="33"/>
        <v>15315103.749429652</v>
      </c>
      <c r="BI74" s="459">
        <f t="shared" si="33"/>
        <v>17109028.047667846</v>
      </c>
      <c r="BJ74" s="459">
        <f t="shared" si="33"/>
        <v>19133082.844073862</v>
      </c>
    </row>
    <row r="75" spans="1:62" x14ac:dyDescent="0.25">
      <c r="A75" s="2" t="s">
        <v>251</v>
      </c>
      <c r="B75" s="132"/>
      <c r="C75" s="132">
        <f t="shared" ref="C75:AH75" si="34">C74/C52</f>
        <v>-1.5642643284858855</v>
      </c>
      <c r="D75" s="132">
        <f t="shared" si="34"/>
        <v>-0.34789349871685205</v>
      </c>
      <c r="E75" s="132">
        <f t="shared" si="34"/>
        <v>0.11410632634955296</v>
      </c>
      <c r="F75" s="132">
        <f t="shared" si="34"/>
        <v>9.3178106285858632E-3</v>
      </c>
      <c r="G75" s="132">
        <f t="shared" si="34"/>
        <v>0.26787494336202994</v>
      </c>
      <c r="H75" s="132">
        <f t="shared" si="34"/>
        <v>0.42595261156126712</v>
      </c>
      <c r="I75" s="132">
        <f t="shared" si="34"/>
        <v>0.5274550497507613</v>
      </c>
      <c r="J75" s="132">
        <f t="shared" si="34"/>
        <v>0.43309200815351095</v>
      </c>
      <c r="K75" s="132">
        <f t="shared" si="34"/>
        <v>0.44961192243301318</v>
      </c>
      <c r="L75" s="132">
        <f t="shared" si="34"/>
        <v>0.32782208838609911</v>
      </c>
      <c r="M75" s="132">
        <f t="shared" si="34"/>
        <v>0.26951247425040054</v>
      </c>
      <c r="N75" s="132">
        <f t="shared" si="34"/>
        <v>0.36432195229264325</v>
      </c>
      <c r="O75" s="132">
        <f t="shared" si="34"/>
        <v>0.36949330928944962</v>
      </c>
      <c r="P75" s="132">
        <f t="shared" si="34"/>
        <v>0.19193880197525873</v>
      </c>
      <c r="Q75" s="132">
        <f t="shared" si="34"/>
        <v>0.20908187981645099</v>
      </c>
      <c r="R75" s="132">
        <f t="shared" si="34"/>
        <v>5.0347691884652455E-2</v>
      </c>
      <c r="S75" s="132">
        <f t="shared" si="34"/>
        <v>-0.13420954686577352</v>
      </c>
      <c r="T75" s="132">
        <f t="shared" si="34"/>
        <v>-4.3327795708517809E-2</v>
      </c>
      <c r="U75" s="132">
        <f t="shared" si="34"/>
        <v>2.7668777567193468E-2</v>
      </c>
      <c r="V75" s="132">
        <f t="shared" si="34"/>
        <v>4.4112316099972945E-2</v>
      </c>
      <c r="W75" s="132">
        <f t="shared" si="34"/>
        <v>0.17734424275057603</v>
      </c>
      <c r="X75" s="132">
        <f t="shared" si="34"/>
        <v>0.18879582280146598</v>
      </c>
      <c r="Y75" s="132">
        <f t="shared" si="34"/>
        <v>0.51411695190918683</v>
      </c>
      <c r="Z75" s="132">
        <f t="shared" si="34"/>
        <v>0.56049343993318057</v>
      </c>
      <c r="AA75" s="132">
        <f t="shared" si="34"/>
        <v>0.57709376266031287</v>
      </c>
      <c r="AB75" s="132">
        <f t="shared" si="34"/>
        <v>0.60926651976120993</v>
      </c>
      <c r="AC75" s="132">
        <f t="shared" si="34"/>
        <v>0.6293310708031733</v>
      </c>
      <c r="AD75" s="132">
        <f t="shared" si="34"/>
        <v>0.64174164818245216</v>
      </c>
      <c r="AE75" s="132">
        <f t="shared" si="34"/>
        <v>0.65040297437966177</v>
      </c>
      <c r="AF75" s="132">
        <f t="shared" si="34"/>
        <v>0.67439036761674442</v>
      </c>
      <c r="AG75" s="132">
        <f t="shared" si="34"/>
        <v>0.724278180062921</v>
      </c>
      <c r="AH75" s="132">
        <f t="shared" si="34"/>
        <v>0.7397805396198508</v>
      </c>
      <c r="AI75" s="132">
        <f t="shared" ref="AI75:BJ75" si="35">AI74/AI52</f>
        <v>0.74658513444828367</v>
      </c>
      <c r="AJ75" s="132">
        <f t="shared" si="35"/>
        <v>0.73366588580422654</v>
      </c>
      <c r="AK75" s="132">
        <f t="shared" si="35"/>
        <v>0.73754701436598635</v>
      </c>
      <c r="AL75" s="132">
        <f t="shared" si="35"/>
        <v>0.74296493502778826</v>
      </c>
      <c r="AM75" s="132">
        <f t="shared" si="35"/>
        <v>0.74422296937341159</v>
      </c>
      <c r="AN75" s="132">
        <f t="shared" si="35"/>
        <v>0.74800206984538864</v>
      </c>
      <c r="AO75" s="132">
        <f t="shared" si="35"/>
        <v>0.75275283150991434</v>
      </c>
      <c r="AP75" s="132">
        <f t="shared" si="35"/>
        <v>0.75536423109865958</v>
      </c>
      <c r="AQ75" s="132">
        <f t="shared" si="35"/>
        <v>0.75808372492002851</v>
      </c>
      <c r="AR75" s="132">
        <f t="shared" si="35"/>
        <v>0.76153207315725846</v>
      </c>
      <c r="AS75" s="132">
        <f t="shared" si="35"/>
        <v>0.76373906924107293</v>
      </c>
      <c r="AT75" s="132">
        <f t="shared" si="35"/>
        <v>0.76649487576002362</v>
      </c>
      <c r="AU75" s="132">
        <f t="shared" si="35"/>
        <v>0.76721002897394897</v>
      </c>
      <c r="AV75" s="132">
        <f t="shared" si="35"/>
        <v>0.76951801083508875</v>
      </c>
      <c r="AW75" s="132">
        <f t="shared" si="35"/>
        <v>0.77099600667868651</v>
      </c>
      <c r="AX75" s="132">
        <f t="shared" si="35"/>
        <v>0.77202504205262457</v>
      </c>
      <c r="AY75" s="132">
        <f t="shared" si="35"/>
        <v>0.77371041342703784</v>
      </c>
      <c r="AZ75" s="132">
        <f t="shared" si="35"/>
        <v>0.77481717950387696</v>
      </c>
      <c r="BA75" s="132">
        <f t="shared" si="35"/>
        <v>0.77558706125328303</v>
      </c>
      <c r="BB75" s="132">
        <f t="shared" si="35"/>
        <v>0.77680615841668288</v>
      </c>
      <c r="BC75" s="132">
        <f t="shared" si="35"/>
        <v>0.77784739475498932</v>
      </c>
      <c r="BD75" s="132">
        <f t="shared" si="35"/>
        <v>0.7784823589676011</v>
      </c>
      <c r="BE75" s="132">
        <f t="shared" si="35"/>
        <v>0.77927051359243305</v>
      </c>
      <c r="BF75" s="132">
        <f t="shared" si="35"/>
        <v>0.77959246188072218</v>
      </c>
      <c r="BG75" s="132">
        <f t="shared" si="35"/>
        <v>0.78019731902273981</v>
      </c>
      <c r="BH75" s="132">
        <f t="shared" si="35"/>
        <v>0.78042648016413674</v>
      </c>
      <c r="BI75" s="132">
        <f t="shared" si="35"/>
        <v>0.78088738598643315</v>
      </c>
      <c r="BJ75" s="132">
        <f t="shared" si="35"/>
        <v>0.7812691697147266</v>
      </c>
    </row>
    <row r="76" spans="1:62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62" s="436" customFormat="1" x14ac:dyDescent="0.25">
      <c r="A77" s="23" t="s">
        <v>627</v>
      </c>
      <c r="B77" s="23"/>
      <c r="C77" s="24">
        <f t="shared" ref="C77:AH77" si="36">C65</f>
        <v>43831</v>
      </c>
      <c r="D77" s="24">
        <f t="shared" si="36"/>
        <v>43862</v>
      </c>
      <c r="E77" s="24">
        <f t="shared" si="36"/>
        <v>43891</v>
      </c>
      <c r="F77" s="24">
        <f t="shared" si="36"/>
        <v>43922</v>
      </c>
      <c r="G77" s="24">
        <f t="shared" si="36"/>
        <v>43952</v>
      </c>
      <c r="H77" s="24">
        <f t="shared" si="36"/>
        <v>43983</v>
      </c>
      <c r="I77" s="24">
        <f t="shared" si="36"/>
        <v>44013</v>
      </c>
      <c r="J77" s="24">
        <f t="shared" si="36"/>
        <v>44044</v>
      </c>
      <c r="K77" s="24">
        <f t="shared" si="36"/>
        <v>44075</v>
      </c>
      <c r="L77" s="24">
        <f t="shared" si="36"/>
        <v>44105</v>
      </c>
      <c r="M77" s="24">
        <f t="shared" si="36"/>
        <v>44136</v>
      </c>
      <c r="N77" s="24">
        <f t="shared" si="36"/>
        <v>44166</v>
      </c>
      <c r="O77" s="24">
        <f t="shared" si="36"/>
        <v>44197</v>
      </c>
      <c r="P77" s="24">
        <f t="shared" si="36"/>
        <v>44228</v>
      </c>
      <c r="Q77" s="24">
        <f t="shared" si="36"/>
        <v>44256</v>
      </c>
      <c r="R77" s="24">
        <f t="shared" si="36"/>
        <v>44287</v>
      </c>
      <c r="S77" s="24">
        <f t="shared" si="36"/>
        <v>44317</v>
      </c>
      <c r="T77" s="24">
        <f t="shared" si="36"/>
        <v>44348</v>
      </c>
      <c r="U77" s="24">
        <f t="shared" si="36"/>
        <v>44378</v>
      </c>
      <c r="V77" s="24">
        <f t="shared" si="36"/>
        <v>44409</v>
      </c>
      <c r="W77" s="24">
        <f t="shared" si="36"/>
        <v>44440</v>
      </c>
      <c r="X77" s="24">
        <f t="shared" si="36"/>
        <v>44470</v>
      </c>
      <c r="Y77" s="24">
        <f t="shared" si="36"/>
        <v>44501</v>
      </c>
      <c r="Z77" s="24">
        <f t="shared" si="36"/>
        <v>44531</v>
      </c>
      <c r="AA77" s="24">
        <f t="shared" si="36"/>
        <v>44562</v>
      </c>
      <c r="AB77" s="24">
        <f t="shared" si="36"/>
        <v>44593</v>
      </c>
      <c r="AC77" s="24">
        <f t="shared" si="36"/>
        <v>44621</v>
      </c>
      <c r="AD77" s="24">
        <f t="shared" si="36"/>
        <v>44652</v>
      </c>
      <c r="AE77" s="24">
        <f t="shared" si="36"/>
        <v>44682</v>
      </c>
      <c r="AF77" s="24">
        <f t="shared" si="36"/>
        <v>44713</v>
      </c>
      <c r="AG77" s="24">
        <f t="shared" si="36"/>
        <v>44743</v>
      </c>
      <c r="AH77" s="24">
        <f t="shared" si="36"/>
        <v>44774</v>
      </c>
      <c r="AI77" s="24">
        <f t="shared" ref="AI77:BJ77" si="37">AI65</f>
        <v>44805</v>
      </c>
      <c r="AJ77" s="24">
        <f t="shared" si="37"/>
        <v>44835</v>
      </c>
      <c r="AK77" s="24">
        <f t="shared" si="37"/>
        <v>44866</v>
      </c>
      <c r="AL77" s="24">
        <f t="shared" si="37"/>
        <v>44896</v>
      </c>
      <c r="AM77" s="24">
        <f t="shared" si="37"/>
        <v>44927</v>
      </c>
      <c r="AN77" s="24">
        <f t="shared" si="37"/>
        <v>44958</v>
      </c>
      <c r="AO77" s="24">
        <f t="shared" si="37"/>
        <v>44986</v>
      </c>
      <c r="AP77" s="24">
        <f t="shared" si="37"/>
        <v>45017</v>
      </c>
      <c r="AQ77" s="24">
        <f t="shared" si="37"/>
        <v>45047</v>
      </c>
      <c r="AR77" s="24">
        <f t="shared" si="37"/>
        <v>45078</v>
      </c>
      <c r="AS77" s="24">
        <f t="shared" si="37"/>
        <v>45108</v>
      </c>
      <c r="AT77" s="24">
        <f t="shared" si="37"/>
        <v>45139</v>
      </c>
      <c r="AU77" s="24">
        <f t="shared" si="37"/>
        <v>45170</v>
      </c>
      <c r="AV77" s="24">
        <f t="shared" si="37"/>
        <v>45200</v>
      </c>
      <c r="AW77" s="24">
        <f t="shared" si="37"/>
        <v>45231</v>
      </c>
      <c r="AX77" s="24">
        <f t="shared" si="37"/>
        <v>45261</v>
      </c>
      <c r="AY77" s="24">
        <f t="shared" si="37"/>
        <v>45292</v>
      </c>
      <c r="AZ77" s="24">
        <f t="shared" si="37"/>
        <v>45323</v>
      </c>
      <c r="BA77" s="24">
        <f t="shared" si="37"/>
        <v>45352</v>
      </c>
      <c r="BB77" s="24">
        <f t="shared" si="37"/>
        <v>45383</v>
      </c>
      <c r="BC77" s="24">
        <f t="shared" si="37"/>
        <v>45413</v>
      </c>
      <c r="BD77" s="24">
        <f t="shared" si="37"/>
        <v>45444</v>
      </c>
      <c r="BE77" s="24">
        <f t="shared" si="37"/>
        <v>45474</v>
      </c>
      <c r="BF77" s="24">
        <f t="shared" si="37"/>
        <v>45505</v>
      </c>
      <c r="BG77" s="24">
        <f t="shared" si="37"/>
        <v>45536</v>
      </c>
      <c r="BH77" s="24">
        <f t="shared" si="37"/>
        <v>45566</v>
      </c>
      <c r="BI77" s="24">
        <f t="shared" si="37"/>
        <v>45597</v>
      </c>
      <c r="BJ77" s="24">
        <f t="shared" si="37"/>
        <v>45627</v>
      </c>
    </row>
    <row r="78" spans="1:62" hidden="1" outlineLevel="1" x14ac:dyDescent="0.25">
      <c r="A78" s="1" t="str">
        <f t="shared" ref="A78:A85" si="38">A66</f>
        <v>BM1 : White label websites</v>
      </c>
      <c r="C78" s="114">
        <f>'White label websites (WLW)'!C150</f>
        <v>355</v>
      </c>
      <c r="D78" s="114">
        <f>'White label websites (WLW)'!D150</f>
        <v>575.80000000000018</v>
      </c>
      <c r="E78" s="114">
        <f>'White label websites (WLW)'!E150</f>
        <v>575.80000000000018</v>
      </c>
      <c r="F78" s="114">
        <f>'White label websites (WLW)'!F150</f>
        <v>680.79999999999927</v>
      </c>
      <c r="G78" s="114">
        <f>'White label websites (WLW)'!G150</f>
        <v>887.79999999999927</v>
      </c>
      <c r="H78" s="114">
        <f>'White label websites (WLW)'!H150</f>
        <v>887.79999999999927</v>
      </c>
      <c r="I78" s="114">
        <f>'White label websites (WLW)'!I150</f>
        <v>887.79999999999927</v>
      </c>
      <c r="J78" s="114">
        <f>'White label websites (WLW)'!J150</f>
        <v>1597.7999999999993</v>
      </c>
      <c r="K78" s="114">
        <f>'White label websites (WLW)'!K150</f>
        <v>2573.7999999999993</v>
      </c>
      <c r="L78" s="114">
        <f>'White label websites (WLW)'!L150</f>
        <v>4430.2000000000007</v>
      </c>
      <c r="M78" s="114">
        <f>'White label websites (WLW)'!M150</f>
        <v>6504.5999999999985</v>
      </c>
      <c r="N78" s="114">
        <f>'White label websites (WLW)'!N150</f>
        <v>8484.1999999999971</v>
      </c>
      <c r="O78" s="114">
        <f>'White label websites (WLW)'!O150</f>
        <v>8797</v>
      </c>
      <c r="P78" s="114">
        <f>'White label websites (WLW)'!P150</f>
        <v>8797</v>
      </c>
      <c r="Q78" s="114">
        <f>'White label websites (WLW)'!Q150</f>
        <v>8797</v>
      </c>
      <c r="R78" s="114">
        <f>'White label websites (WLW)'!R150</f>
        <v>8797</v>
      </c>
      <c r="S78" s="114">
        <f>'White label websites (WLW)'!S150</f>
        <v>8797</v>
      </c>
      <c r="T78" s="114">
        <f>'White label websites (WLW)'!T150</f>
        <v>8797</v>
      </c>
      <c r="U78" s="114">
        <f>'White label websites (WLW)'!U150</f>
        <v>8797</v>
      </c>
      <c r="V78" s="114">
        <f>'White label websites (WLW)'!V150</f>
        <v>8797</v>
      </c>
      <c r="W78" s="114">
        <f>'White label websites (WLW)'!W150</f>
        <v>8797</v>
      </c>
      <c r="X78" s="114">
        <f>'White label websites (WLW)'!X150</f>
        <v>9047</v>
      </c>
      <c r="Y78" s="114">
        <f>'White label websites (WLW)'!Y150</f>
        <v>9047</v>
      </c>
      <c r="Z78" s="114">
        <f>'White label websites (WLW)'!Z150</f>
        <v>9047</v>
      </c>
      <c r="AA78" s="114">
        <f>'White label websites (WLW)'!AA150</f>
        <v>9047</v>
      </c>
      <c r="AB78" s="114">
        <f>'White label websites (WLW)'!AB150</f>
        <v>9047</v>
      </c>
      <c r="AC78" s="114">
        <f>'White label websites (WLW)'!AC150</f>
        <v>9047</v>
      </c>
      <c r="AD78" s="114">
        <f>'White label websites (WLW)'!AD150</f>
        <v>9047</v>
      </c>
      <c r="AE78" s="114">
        <f>'White label websites (WLW)'!AE150</f>
        <v>9047</v>
      </c>
      <c r="AF78" s="114">
        <f>'White label websites (WLW)'!AF150</f>
        <v>9047</v>
      </c>
      <c r="AG78" s="114">
        <f>'White label websites (WLW)'!AG150</f>
        <v>9047</v>
      </c>
      <c r="AH78" s="114">
        <f>'White label websites (WLW)'!AH150</f>
        <v>9047</v>
      </c>
      <c r="AI78" s="114">
        <f>'White label websites (WLW)'!AI150</f>
        <v>9047</v>
      </c>
      <c r="AJ78" s="114">
        <f>'White label websites (WLW)'!AJ150</f>
        <v>9047</v>
      </c>
      <c r="AK78" s="114">
        <f>'White label websites (WLW)'!AK150</f>
        <v>9047</v>
      </c>
      <c r="AL78" s="114">
        <f>'White label websites (WLW)'!AL150</f>
        <v>9047</v>
      </c>
      <c r="AM78" s="114">
        <f>'White label websites (WLW)'!AM150</f>
        <v>9047</v>
      </c>
      <c r="AN78" s="114">
        <f>'White label websites (WLW)'!AN150</f>
        <v>9047</v>
      </c>
      <c r="AO78" s="114">
        <f>'White label websites (WLW)'!AO150</f>
        <v>9047</v>
      </c>
      <c r="AP78" s="114">
        <f>'White label websites (WLW)'!AP150</f>
        <v>9047</v>
      </c>
      <c r="AQ78" s="114">
        <f>'White label websites (WLW)'!AQ150</f>
        <v>9047</v>
      </c>
      <c r="AR78" s="114">
        <f>'White label websites (WLW)'!AR150</f>
        <v>9047</v>
      </c>
      <c r="AS78" s="114">
        <f>'White label websites (WLW)'!AS150</f>
        <v>9047</v>
      </c>
      <c r="AT78" s="114">
        <f>'White label websites (WLW)'!AT150</f>
        <v>9047</v>
      </c>
      <c r="AU78" s="114">
        <f>'White label websites (WLW)'!AU150</f>
        <v>9047</v>
      </c>
      <c r="AV78" s="114">
        <f>'White label websites (WLW)'!AV150</f>
        <v>9047</v>
      </c>
      <c r="AW78" s="114">
        <f>'White label websites (WLW)'!AW150</f>
        <v>9047</v>
      </c>
      <c r="AX78" s="114">
        <f>'White label websites (WLW)'!AX150</f>
        <v>9047</v>
      </c>
      <c r="AY78" s="114">
        <f>'White label websites (WLW)'!AY150</f>
        <v>9047</v>
      </c>
      <c r="AZ78" s="114">
        <f>'White label websites (WLW)'!AZ150</f>
        <v>9047</v>
      </c>
      <c r="BA78" s="114">
        <f>'White label websites (WLW)'!BA150</f>
        <v>9047</v>
      </c>
      <c r="BB78" s="114">
        <f>'White label websites (WLW)'!BB150</f>
        <v>9297</v>
      </c>
      <c r="BC78" s="114">
        <f>'White label websites (WLW)'!BC150</f>
        <v>9297</v>
      </c>
      <c r="BD78" s="114">
        <f>'White label websites (WLW)'!BD150</f>
        <v>9297</v>
      </c>
      <c r="BE78" s="114">
        <f>'White label websites (WLW)'!BE150</f>
        <v>9297</v>
      </c>
      <c r="BF78" s="114">
        <f>'White label websites (WLW)'!BF150</f>
        <v>9297</v>
      </c>
      <c r="BG78" s="114">
        <f>'White label websites (WLW)'!BG150</f>
        <v>9297</v>
      </c>
      <c r="BH78" s="114">
        <f>'White label websites (WLW)'!BH150</f>
        <v>9297</v>
      </c>
      <c r="BI78" s="114">
        <f>'White label websites (WLW)'!BI150</f>
        <v>9297</v>
      </c>
      <c r="BJ78" s="114">
        <f>'White label websites (WLW)'!BJ150</f>
        <v>9297</v>
      </c>
    </row>
    <row r="79" spans="1:62" hidden="1" outlineLevel="1" x14ac:dyDescent="0.25">
      <c r="A79" s="1" t="str">
        <f t="shared" si="38"/>
        <v>BM2 : WLW Side revenues</v>
      </c>
      <c r="C79" s="114">
        <f>'WLW Side revenues'!B83</f>
        <v>25.200000000000003</v>
      </c>
      <c r="D79" s="114">
        <f>'WLW Side revenues'!C83</f>
        <v>50.400000000000006</v>
      </c>
      <c r="E79" s="114">
        <f>'WLW Side revenues'!D83</f>
        <v>200.6</v>
      </c>
      <c r="F79" s="114">
        <f>'WLW Side revenues'!E83</f>
        <v>225.8</v>
      </c>
      <c r="G79" s="114">
        <f>'WLW Side revenues'!F83</f>
        <v>251</v>
      </c>
      <c r="H79" s="114">
        <f>'WLW Side revenues'!G83</f>
        <v>276.2</v>
      </c>
      <c r="I79" s="114">
        <f>'WLW Side revenues'!H83</f>
        <v>301.39999999999998</v>
      </c>
      <c r="J79" s="114">
        <f>'WLW Side revenues'!I83</f>
        <v>457</v>
      </c>
      <c r="K79" s="114">
        <f>'WLW Side revenues'!J83</f>
        <v>637.79999999999995</v>
      </c>
      <c r="L79" s="114">
        <f>'WLW Side revenues'!K83</f>
        <v>914</v>
      </c>
      <c r="M79" s="114">
        <f>'WLW Side revenues'!L83</f>
        <v>1445.6</v>
      </c>
      <c r="N79" s="114">
        <f>'WLW Side revenues'!M83</f>
        <v>11857.6</v>
      </c>
      <c r="O79" s="114">
        <f>'WLW Side revenues'!N83</f>
        <v>12345.487999999999</v>
      </c>
      <c r="P79" s="114">
        <f>'WLW Side revenues'!O83</f>
        <v>12799.548000000001</v>
      </c>
      <c r="Q79" s="114">
        <f>'WLW Side revenues'!P83</f>
        <v>23333.608</v>
      </c>
      <c r="R79" s="114">
        <f>'WLW Side revenues'!Q83</f>
        <v>23787.668000000001</v>
      </c>
      <c r="S79" s="114">
        <f>'WLW Side revenues'!R83</f>
        <v>24286.727999999999</v>
      </c>
      <c r="T79" s="114">
        <f>'WLW Side revenues'!S83</f>
        <v>34695.788</v>
      </c>
      <c r="U79" s="114">
        <f>'WLW Side revenues'!T83</f>
        <v>35274.847999999998</v>
      </c>
      <c r="V79" s="114">
        <f>'WLW Side revenues'!U83</f>
        <v>35808.907999999996</v>
      </c>
      <c r="W79" s="114">
        <f>'WLW Side revenues'!V83</f>
        <v>36182.968000000001</v>
      </c>
      <c r="X79" s="114">
        <f>'WLW Side revenues'!W83</f>
        <v>36661.934000000001</v>
      </c>
      <c r="Y79" s="114">
        <f>'WLW Side revenues'!X83</f>
        <v>47345.9</v>
      </c>
      <c r="Z79" s="114">
        <f>'WLW Side revenues'!Y83</f>
        <v>47824.866000000002</v>
      </c>
      <c r="AA79" s="114">
        <f>'WLW Side revenues'!Z83</f>
        <v>48260.728799999997</v>
      </c>
      <c r="AB79" s="114">
        <f>'WLW Side revenues'!AA83</f>
        <v>58861.938199999997</v>
      </c>
      <c r="AC79" s="114">
        <f>'WLW Side revenues'!AB83</f>
        <v>59213.147599999997</v>
      </c>
      <c r="AD79" s="114">
        <f>'WLW Side revenues'!AC83</f>
        <v>59894.357000000004</v>
      </c>
      <c r="AE79" s="114">
        <f>'WLW Side revenues'!AD83</f>
        <v>70370.566399999996</v>
      </c>
      <c r="AF79" s="114">
        <f>'WLW Side revenues'!AE83</f>
        <v>70971.775800000003</v>
      </c>
      <c r="AG79" s="114">
        <f>'WLW Side revenues'!AF83</f>
        <v>71527.985199999996</v>
      </c>
      <c r="AH79" s="114">
        <f>'WLW Side revenues'!AG83</f>
        <v>71924.194600000003</v>
      </c>
      <c r="AI79" s="114">
        <f>'WLW Side revenues'!AH83</f>
        <v>72480.40400000001</v>
      </c>
      <c r="AJ79" s="114">
        <f>'WLW Side revenues'!AI83</f>
        <v>83081.613400000002</v>
      </c>
      <c r="AK79" s="114">
        <f>'WLW Side revenues'!AJ83</f>
        <v>83557.822799999994</v>
      </c>
      <c r="AL79" s="114">
        <f>'WLW Side revenues'!AK83</f>
        <v>84114.032200000001</v>
      </c>
      <c r="AM79" s="114">
        <f>'WLW Side revenues'!AL83</f>
        <v>94671.745492799993</v>
      </c>
      <c r="AN79" s="114">
        <f>'WLW Side revenues'!AM83</f>
        <v>95146.381020500005</v>
      </c>
      <c r="AO79" s="114">
        <f>'WLW Side revenues'!AN83</f>
        <v>95541.016548200001</v>
      </c>
      <c r="AP79" s="114">
        <f>'WLW Side revenues'!AO83</f>
        <v>106095.6520759</v>
      </c>
      <c r="AQ79" s="114">
        <f>'WLW Side revenues'!AP83</f>
        <v>106695.28760359999</v>
      </c>
      <c r="AR79" s="114">
        <f>'WLW Side revenues'!AQ83</f>
        <v>107249.92313130001</v>
      </c>
      <c r="AS79" s="114">
        <f>'WLW Side revenues'!AR83</f>
        <v>107724.558659</v>
      </c>
      <c r="AT79" s="114">
        <f>'WLW Side revenues'!AS83</f>
        <v>108244.1941867</v>
      </c>
      <c r="AU79" s="114">
        <f>'WLW Side revenues'!AT83</f>
        <v>118798.8297144</v>
      </c>
      <c r="AV79" s="114">
        <f>'WLW Side revenues'!AU83</f>
        <v>119273.46524210001</v>
      </c>
      <c r="AW79" s="114">
        <f>'WLW Side revenues'!AV83</f>
        <v>119828.1007698</v>
      </c>
      <c r="AX79" s="114">
        <f>'WLW Side revenues'!AW83</f>
        <v>130427.7362975</v>
      </c>
      <c r="AY79" s="114">
        <f>'WLW Side revenues'!AX83</f>
        <v>130862.8319532508</v>
      </c>
      <c r="AZ79" s="114">
        <f>'WLW Side revenues'!AY83</f>
        <v>131461.46991537409</v>
      </c>
      <c r="BA79" s="114">
        <f>'WLW Side revenues'!AZ83</f>
        <v>141890.10787749739</v>
      </c>
      <c r="BB79" s="114">
        <f>'WLW Side revenues'!BA83</f>
        <v>142513.16747254098</v>
      </c>
      <c r="BC79" s="114">
        <f>'WLW Side revenues'!BB83</f>
        <v>142931.22706758461</v>
      </c>
      <c r="BD79" s="114">
        <f>'WLW Side revenues'!BC83</f>
        <v>143509.2866626282</v>
      </c>
      <c r="BE79" s="114">
        <f>'WLW Side revenues'!BD83</f>
        <v>144132.3462576718</v>
      </c>
      <c r="BF79" s="114">
        <f>'WLW Side revenues'!BE83</f>
        <v>154710.4058527154</v>
      </c>
      <c r="BG79" s="114">
        <f>'WLW Side revenues'!BF83</f>
        <v>155333.46544775899</v>
      </c>
      <c r="BH79" s="114">
        <f>'WLW Side revenues'!BG83</f>
        <v>165911.52504280259</v>
      </c>
      <c r="BI79" s="114">
        <f>'WLW Side revenues'!BH83</f>
        <v>166409.58463784619</v>
      </c>
      <c r="BJ79" s="114">
        <f>'WLW Side revenues'!BI83</f>
        <v>167032.64423288981</v>
      </c>
    </row>
    <row r="80" spans="1:62" hidden="1" outlineLevel="1" x14ac:dyDescent="0.25">
      <c r="A80" s="1" t="str">
        <f t="shared" si="38"/>
        <v>BM3 : Advertising</v>
      </c>
      <c r="C80" s="540" t="str">
        <f>IFERROR(HLOOKUP(C77,Advertising!$B$56:$AU$63,8),"0")</f>
        <v>0</v>
      </c>
      <c r="D80" s="540" t="str">
        <f>IFERROR(HLOOKUP(D77,Advertising!$B$56:$AU$63,8),"0")</f>
        <v>0</v>
      </c>
      <c r="E80" s="540" t="str">
        <f>IFERROR(HLOOKUP(E77,Advertising!$B$56:$AU$63,8),"0")</f>
        <v>0</v>
      </c>
      <c r="F80" s="540" t="str">
        <f>IFERROR(HLOOKUP(F77,Advertising!$B$56:$AU$63,8),"0")</f>
        <v>0</v>
      </c>
      <c r="G80" s="540" t="str">
        <f>IFERROR(HLOOKUP(G77,Advertising!$B$56:$AU$63,8),"0")</f>
        <v>0</v>
      </c>
      <c r="H80" s="540" t="str">
        <f>IFERROR(HLOOKUP(H77,Advertising!$B$56:$AU$63,8),"0")</f>
        <v>0</v>
      </c>
      <c r="I80" s="540" t="str">
        <f>IFERROR(HLOOKUP(I77,Advertising!$B$56:$AU$63,8),"0")</f>
        <v>0</v>
      </c>
      <c r="J80" s="540" t="str">
        <f>IFERROR(HLOOKUP(J77,Advertising!$B$56:$AU$63,8),"0")</f>
        <v>0</v>
      </c>
      <c r="K80" s="540" t="str">
        <f>IFERROR(HLOOKUP(K77,Advertising!$B$56:$AU$63,8),"0")</f>
        <v>0</v>
      </c>
      <c r="L80" s="540" t="str">
        <f>IFERROR(HLOOKUP(L77,Advertising!$B$56:$AU$63,8),"0")</f>
        <v>0</v>
      </c>
      <c r="M80" s="540" t="str">
        <f>IFERROR(HLOOKUP(M77,Advertising!$B$56:$AU$63,8),"0")</f>
        <v>0</v>
      </c>
      <c r="N80" s="540" t="str">
        <f>IFERROR(HLOOKUP(N77,Advertising!$B$56:$AU$63,8),"0")</f>
        <v>0</v>
      </c>
      <c r="O80" s="540" t="str">
        <f>IFERROR(HLOOKUP(O77,Advertising!$B$56:$AU$63,8),"0")</f>
        <v>0</v>
      </c>
      <c r="P80" s="540" t="str">
        <f>IFERROR(HLOOKUP(P77,Advertising!$B$56:$AU$63,8),"0")</f>
        <v>0</v>
      </c>
      <c r="Q80" s="540" t="str">
        <f>IFERROR(HLOOKUP(Q77,Advertising!$B$56:$AU$63,8),"0")</f>
        <v>0</v>
      </c>
      <c r="R80" s="540">
        <f>IFERROR(HLOOKUP(R77,Advertising!$B$56:$AU$63,8),"0")</f>
        <v>1000</v>
      </c>
      <c r="S80" s="540">
        <f>IFERROR(HLOOKUP(S77,Advertising!$B$56:$AU$63,8),"0")</f>
        <v>1000</v>
      </c>
      <c r="T80" s="540">
        <f>IFERROR(HLOOKUP(T77,Advertising!$B$56:$AU$63,8),"0")</f>
        <v>1015</v>
      </c>
      <c r="U80" s="540">
        <f>IFERROR(HLOOKUP(U77,Advertising!$B$56:$AU$63,8),"0")</f>
        <v>1030.2249999999985</v>
      </c>
      <c r="V80" s="540">
        <f>IFERROR(HLOOKUP(V77,Advertising!$B$56:$AU$63,8),"0")</f>
        <v>1045.6783749999995</v>
      </c>
      <c r="W80" s="540">
        <f>IFERROR(HLOOKUP(W77,Advertising!$B$56:$AU$63,8),"0")</f>
        <v>1061.3635506249993</v>
      </c>
      <c r="X80" s="540">
        <f>IFERROR(HLOOKUP(X77,Advertising!$B$56:$AU$63,8),"0")</f>
        <v>1077.2840038843751</v>
      </c>
      <c r="Y80" s="540">
        <f>IFERROR(HLOOKUP(Y77,Advertising!$B$56:$AU$63,8),"0")</f>
        <v>11093.44326394264</v>
      </c>
      <c r="Z80" s="540">
        <f>IFERROR(HLOOKUP(Z77,Advertising!$B$56:$AU$63,8),"0")</f>
        <v>11109.844912901779</v>
      </c>
      <c r="AA80" s="540">
        <f>IFERROR(HLOOKUP(AA77,Advertising!$B$56:$AU$63,8),"0")</f>
        <v>11126.492586595306</v>
      </c>
      <c r="AB80" s="540">
        <f>IFERROR(HLOOKUP(AB77,Advertising!$B$56:$AU$63,8),"0")</f>
        <v>11143.389975394235</v>
      </c>
      <c r="AC80" s="540">
        <f>IFERROR(HLOOKUP(AC77,Advertising!$B$56:$AU$63,8),"0")</f>
        <v>11160.540825025149</v>
      </c>
      <c r="AD80" s="540">
        <f>IFERROR(HLOOKUP(AD77,Advertising!$B$56:$AU$63,8),"0")</f>
        <v>11177.948937400526</v>
      </c>
      <c r="AE80" s="540">
        <f>IFERROR(HLOOKUP(AE77,Advertising!$B$56:$AU$63,8),"0")</f>
        <v>11195.618171461534</v>
      </c>
      <c r="AF80" s="540">
        <f>IFERROR(HLOOKUP(AF77,Advertising!$B$56:$AU$63,8),"0")</f>
        <v>11213.552444033456</v>
      </c>
      <c r="AG80" s="540">
        <f>IFERROR(HLOOKUP(AG77,Advertising!$B$56:$AU$63,8),"0")</f>
        <v>11231.755730693958</v>
      </c>
      <c r="AH80" s="540">
        <f>IFERROR(HLOOKUP(AH77,Advertising!$B$56:$AU$63,8),"0")</f>
        <v>11250.232066654367</v>
      </c>
      <c r="AI80" s="540">
        <f>IFERROR(HLOOKUP(AI77,Advertising!$B$56:$AU$63,8),"0")</f>
        <v>11268.985547654183</v>
      </c>
      <c r="AJ80" s="540">
        <f>IFERROR(HLOOKUP(AJ77,Advertising!$B$56:$AU$63,8),"0")</f>
        <v>11288.020330868996</v>
      </c>
      <c r="AK80" s="540">
        <f>IFERROR(HLOOKUP(AK77,Advertising!$B$56:$AU$63,8),"0")</f>
        <v>11307.34063583203</v>
      </c>
      <c r="AL80" s="540">
        <f>IFERROR(HLOOKUP(AL77,Advertising!$B$56:$AU$63,8),"0")</f>
        <v>11326.950745369511</v>
      </c>
      <c r="AM80" s="540">
        <f>IFERROR(HLOOKUP(AM77,Advertising!$B$56:$AU$63,8),"0")</f>
        <v>11346.855006550053</v>
      </c>
      <c r="AN80" s="540">
        <f>IFERROR(HLOOKUP(AN77,Advertising!$B$56:$AU$63,8),"0")</f>
        <v>11367.057831648304</v>
      </c>
      <c r="AO80" s="540">
        <f>IFERROR(HLOOKUP(AO77,Advertising!$B$56:$AU$63,8),"0")</f>
        <v>11387.563699123029</v>
      </c>
      <c r="AP80" s="540">
        <f>IFERROR(HLOOKUP(AP77,Advertising!$B$56:$AU$63,8),"0")</f>
        <v>11408.377154609874</v>
      </c>
      <c r="AQ80" s="540">
        <f>IFERROR(HLOOKUP(AQ77,Advertising!$B$56:$AU$63,8),"0")</f>
        <v>11429.502811929022</v>
      </c>
      <c r="AR80" s="540">
        <f>IFERROR(HLOOKUP(AR77,Advertising!$B$56:$AU$63,8),"0")</f>
        <v>11450.945354107957</v>
      </c>
      <c r="AS80" s="540">
        <f>IFERROR(HLOOKUP(AS77,Advertising!$B$56:$AU$63,8),"0")</f>
        <v>11472.709534419577</v>
      </c>
      <c r="AT80" s="540">
        <f>IFERROR(HLOOKUP(AT77,Advertising!$B$56:$AU$63,8),"0")</f>
        <v>11494.800177435869</v>
      </c>
      <c r="AU80" s="540">
        <f>IFERROR(HLOOKUP(AU77,Advertising!$B$56:$AU$63,8),"0")</f>
        <v>11517.222180097408</v>
      </c>
      <c r="AV80" s="540">
        <f>IFERROR(HLOOKUP(AV77,Advertising!$B$56:$AU$63,8),"0")</f>
        <v>11539.980512798869</v>
      </c>
      <c r="AW80" s="540">
        <f>IFERROR(HLOOKUP(AW77,Advertising!$B$56:$AU$63,8),"0")</f>
        <v>11563.08022049085</v>
      </c>
      <c r="AX80" s="540">
        <f>IFERROR(HLOOKUP(AX77,Advertising!$B$56:$AU$63,8),"0")</f>
        <v>11586.526423798214</v>
      </c>
      <c r="AY80" s="540">
        <f>IFERROR(HLOOKUP(AY77,Advertising!$B$56:$AU$63,8),"0")</f>
        <v>11610.324320155187</v>
      </c>
      <c r="AZ80" s="540">
        <f>IFERROR(HLOOKUP(AZ77,Advertising!$B$56:$AU$63,8),"0")</f>
        <v>11634.479184957514</v>
      </c>
      <c r="BA80" s="540">
        <f>IFERROR(HLOOKUP(BA77,Advertising!$B$56:$AU$63,8),"0")</f>
        <v>11658.996372731877</v>
      </c>
      <c r="BB80" s="540">
        <f>IFERROR(HLOOKUP(BB77,Advertising!$B$56:$AU$63,8),"0")</f>
        <v>11683.881318322856</v>
      </c>
      <c r="BC80" s="540">
        <f>IFERROR(HLOOKUP(BC77,Advertising!$B$56:$AU$63,8),"0")</f>
        <v>11709.139538097697</v>
      </c>
      <c r="BD80" s="540">
        <f>IFERROR(HLOOKUP(BD77,Advertising!$B$56:$AU$63,8),"0")</f>
        <v>11734.776631169163</v>
      </c>
      <c r="BE80" s="540">
        <f>IFERROR(HLOOKUP(BE77,Advertising!$B$56:$AU$63,8),"0")</f>
        <v>11760.7982806367</v>
      </c>
      <c r="BF80" s="540">
        <f>IFERROR(HLOOKUP(BF77,Advertising!$B$56:$AU$63,8),"0")</f>
        <v>11787.210254846252</v>
      </c>
      <c r="BG80" s="540">
        <f>IFERROR(HLOOKUP(BG77,Advertising!$B$56:$AU$63,8),"0")</f>
        <v>11814.018408668944</v>
      </c>
      <c r="BH80" s="540">
        <f>IFERROR(HLOOKUP(BH77,Advertising!$B$56:$AU$63,8),"0")</f>
        <v>11841.228684798978</v>
      </c>
      <c r="BI80" s="540">
        <f>IFERROR(HLOOKUP(BI77,Advertising!$B$56:$AU$63,8),"0")</f>
        <v>11868.847115070963</v>
      </c>
      <c r="BJ80" s="540">
        <f>IFERROR(HLOOKUP(BJ77,Advertising!$B$56:$AU$63,8),"0")</f>
        <v>11896.879821797027</v>
      </c>
    </row>
    <row r="81" spans="1:62" hidden="1" outlineLevel="1" x14ac:dyDescent="0.25">
      <c r="A81" s="1" t="str">
        <f t="shared" si="38"/>
        <v>BM4 : Sponsoring marketplace</v>
      </c>
      <c r="C81" s="540" t="str">
        <f>IFERROR(HLOOKUP(C77,'Sponsoring marketplace'!$B$55:$BD$63,8),"0")</f>
        <v>0</v>
      </c>
      <c r="D81" s="540" t="str">
        <f>IFERROR(HLOOKUP(D77,'Sponsoring marketplace'!$B$55:$BD$63,8),"0")</f>
        <v>0</v>
      </c>
      <c r="E81" s="540" t="str">
        <f>IFERROR(HLOOKUP(E77,'Sponsoring marketplace'!$B$55:$BD$63,8),"0")</f>
        <v>0</v>
      </c>
      <c r="F81" s="540" t="str">
        <f>IFERROR(HLOOKUP(F77,'Sponsoring marketplace'!$B$55:$BD$63,8),"0")</f>
        <v>0</v>
      </c>
      <c r="G81" s="540" t="str">
        <f>IFERROR(HLOOKUP(G77,'Sponsoring marketplace'!$B$55:$BD$63,8),"0")</f>
        <v>0</v>
      </c>
      <c r="H81" s="540" t="str">
        <f>IFERROR(HLOOKUP(H77,'Sponsoring marketplace'!$B$55:$BD$63,8),"0")</f>
        <v>0</v>
      </c>
      <c r="I81" s="540" t="str">
        <f>IFERROR(HLOOKUP(I77,'Sponsoring marketplace'!$B$55:$BD$63,8),"0")</f>
        <v>0</v>
      </c>
      <c r="J81" s="540" t="str">
        <f>IFERROR(HLOOKUP(J77,'Sponsoring marketplace'!$B$55:$BD$63,8),"0")</f>
        <v>0</v>
      </c>
      <c r="K81" s="540" t="str">
        <f>IFERROR(HLOOKUP(K77,'Sponsoring marketplace'!$B$55:$BD$63,8),"0")</f>
        <v>0</v>
      </c>
      <c r="L81" s="540" t="str">
        <f>IFERROR(HLOOKUP(L77,'Sponsoring marketplace'!$B$55:$BD$63,8),"0")</f>
        <v>0</v>
      </c>
      <c r="M81" s="540" t="str">
        <f>IFERROR(HLOOKUP(M77,'Sponsoring marketplace'!$B$55:$BD$63,8),"0")</f>
        <v>0</v>
      </c>
      <c r="N81" s="540" t="str">
        <f>IFERROR(HLOOKUP(N77,'Sponsoring marketplace'!$B$55:$BD$63,8),"0")</f>
        <v>0</v>
      </c>
      <c r="O81" s="540" t="str">
        <f>IFERROR(HLOOKUP(O77,'Sponsoring marketplace'!$B$55:$BD$63,8),"0")</f>
        <v>0</v>
      </c>
      <c r="P81" s="540">
        <f>IFERROR(HLOOKUP(P77,'Sponsoring marketplace'!$B$55:$BD$63,8),"0")</f>
        <v>20331.666666666668</v>
      </c>
      <c r="Q81" s="540">
        <f>IFERROR(HLOOKUP(Q77,'Sponsoring marketplace'!$B$55:$BD$63,8),"0")</f>
        <v>20331.666666666668</v>
      </c>
      <c r="R81" s="540">
        <f>IFERROR(HLOOKUP(R77,'Sponsoring marketplace'!$B$55:$BD$63,8),"0")</f>
        <v>20346.666666666668</v>
      </c>
      <c r="S81" s="540">
        <f>IFERROR(HLOOKUP(S77,'Sponsoring marketplace'!$B$55:$BD$63,8),"0")</f>
        <v>20361.891666666666</v>
      </c>
      <c r="T81" s="540">
        <f>IFERROR(HLOOKUP(T77,'Sponsoring marketplace'!$B$55:$BD$63,8),"0")</f>
        <v>20377.345041666667</v>
      </c>
      <c r="U81" s="540">
        <f>IFERROR(HLOOKUP(U77,'Sponsoring marketplace'!$B$55:$BD$63,8),"0")</f>
        <v>20393.030217291667</v>
      </c>
      <c r="V81" s="540">
        <f>IFERROR(HLOOKUP(V77,'Sponsoring marketplace'!$B$55:$BD$63,8),"0")</f>
        <v>20408.950670551043</v>
      </c>
      <c r="W81" s="540">
        <f>IFERROR(HLOOKUP(W77,'Sponsoring marketplace'!$B$55:$BD$63,8),"0")</f>
        <v>10564.44326394264</v>
      </c>
      <c r="X81" s="540">
        <f>IFERROR(HLOOKUP(X77,'Sponsoring marketplace'!$B$55:$BD$63,8),"0")</f>
        <v>10580.844912901779</v>
      </c>
      <c r="Y81" s="540">
        <f>IFERROR(HLOOKUP(Y77,'Sponsoring marketplace'!$B$55:$BD$63,8),"0")</f>
        <v>37925.47502235719</v>
      </c>
      <c r="Z81" s="540">
        <f>IFERROR(HLOOKUP(Z77,'Sponsoring marketplace'!$B$55:$BD$63,8),"0")</f>
        <v>41258.494017278608</v>
      </c>
      <c r="AA81" s="540">
        <f>IFERROR(HLOOKUP(AA77,'Sponsoring marketplace'!$B$55:$BD$63,8),"0")</f>
        <v>45705.27257767391</v>
      </c>
      <c r="AB81" s="540">
        <f>IFERROR(HLOOKUP(AB77,'Sponsoring marketplace'!$B$55:$BD$63,8),"0")</f>
        <v>53151.042368655129</v>
      </c>
      <c r="AC81" s="540">
        <f>IFERROR(HLOOKUP(AC77,'Sponsoring marketplace'!$B$55:$BD$63,8),"0")</f>
        <v>61630.297029350884</v>
      </c>
      <c r="AD81" s="540">
        <f>IFERROR(HLOOKUP(AD77,'Sponsoring marketplace'!$B$55:$BD$63,8),"0")</f>
        <v>71264.752925555513</v>
      </c>
      <c r="AE81" s="540">
        <f>IFERROR(HLOOKUP(AE77,'Sponsoring marketplace'!$B$55:$BD$63,8),"0")</f>
        <v>82189.602101411103</v>
      </c>
      <c r="AF81" s="540">
        <f>IFERROR(HLOOKUP(AF77,'Sponsoring marketplace'!$B$55:$BD$63,8),"0")</f>
        <v>94555.01096853365</v>
      </c>
      <c r="AG81" s="540">
        <f>IFERROR(HLOOKUP(AG77,'Sponsoring marketplace'!$B$55:$BD$63,8),"0")</f>
        <v>108527.79978794578</v>
      </c>
      <c r="AH81" s="540">
        <f>IFERROR(HLOOKUP(AH77,'Sponsoring marketplace'!$B$55:$BD$63,8),"0")</f>
        <v>124293.328700292</v>
      </c>
      <c r="AI81" s="540">
        <f>IFERROR(HLOOKUP(AI77,'Sponsoring marketplace'!$B$55:$BD$63,8),"0")</f>
        <v>142057.62056343406</v>
      </c>
      <c r="AJ81" s="540">
        <f>IFERROR(HLOOKUP(AJ77,'Sponsoring marketplace'!$B$55:$BD$63,8),"0")</f>
        <v>162049.75628741889</v>
      </c>
      <c r="AK81" s="540">
        <f>IFERROR(HLOOKUP(AK77,'Sponsoring marketplace'!$B$55:$BD$63,8),"0")</f>
        <v>184524.58492433553</v>
      </c>
      <c r="AL81" s="540">
        <f>IFERROR(HLOOKUP(AL77,'Sponsoring marketplace'!$B$55:$BD$63,8),"0")</f>
        <v>209765.79873338804</v>
      </c>
      <c r="AM81" s="540">
        <f>IFERROR(HLOOKUP(AM77,'Sponsoring marketplace'!$B$55:$BD$63,8),"0")</f>
        <v>238089.43311935753</v>
      </c>
      <c r="AN81" s="540">
        <f>IFERROR(HLOOKUP(AN77,'Sponsoring marketplace'!$B$55:$BD$63,8),"0")</f>
        <v>275973.26996346767</v>
      </c>
      <c r="AO81" s="540">
        <f>IFERROR(HLOOKUP(AO77,'Sponsoring marketplace'!$B$55:$BD$63,8),"0")</f>
        <v>318698.17398617824</v>
      </c>
      <c r="AP81" s="540">
        <f>IFERROR(HLOOKUP(AP77,'Sponsoring marketplace'!$B$55:$BD$63,8),"0")</f>
        <v>366829.13007125014</v>
      </c>
      <c r="AQ81" s="540">
        <f>IFERROR(HLOOKUP(AQ77,'Sponsoring marketplace'!$B$55:$BD$63,8),"0")</f>
        <v>420997.19295625697</v>
      </c>
      <c r="AR81" s="540">
        <f>IFERROR(HLOOKUP(AR77,'Sponsoring marketplace'!$B$55:$BD$63,8),"0")</f>
        <v>481907.95036982896</v>
      </c>
      <c r="AS81" s="540">
        <f>IFERROR(HLOOKUP(AS77,'Sponsoring marketplace'!$B$55:$BD$63,8),"0")</f>
        <v>550351.27413264313</v>
      </c>
      <c r="AT81" s="540">
        <f>IFERROR(HLOOKUP(AT77,'Sponsoring marketplace'!$B$55:$BD$63,8),"0")</f>
        <v>627212.5968005819</v>
      </c>
      <c r="AU81" s="540">
        <f>IFERROR(HLOOKUP(AU77,'Sponsoring marketplace'!$B$55:$BD$63,8),"0")</f>
        <v>713486.00187736668</v>
      </c>
      <c r="AV81" s="540">
        <f>IFERROR(HLOOKUP(AV77,'Sponsoring marketplace'!$B$55:$BD$63,8),"0")</f>
        <v>810289.47762439656</v>
      </c>
      <c r="AW81" s="540">
        <f>IFERROR(HLOOKUP(AW77,'Sponsoring marketplace'!$B$55:$BD$63,8),"0")</f>
        <v>918882.7607825317</v>
      </c>
      <c r="AX81" s="540">
        <f>IFERROR(HLOOKUP(AX77,'Sponsoring marketplace'!$B$55:$BD$63,8),"0")</f>
        <v>1040688.2904856757</v>
      </c>
      <c r="AY81" s="540">
        <f>IFERROR(HLOOKUP(AY77,'Sponsoring marketplace'!$B$55:$BD$63,8),"0")</f>
        <v>1177315.908495486</v>
      </c>
      <c r="AZ81" s="540">
        <f>IFERROR(HLOOKUP(AZ77,'Sponsoring marketplace'!$B$55:$BD$63,8),"0")</f>
        <v>1339846.9747013242</v>
      </c>
      <c r="BA81" s="540">
        <f>IFERROR(HLOOKUP(BA77,'Sponsoring marketplace'!$B$55:$BD$63,8),"0")</f>
        <v>1522634.914320939</v>
      </c>
      <c r="BB81" s="540">
        <f>IFERROR(HLOOKUP(BB77,'Sponsoring marketplace'!$B$55:$BD$63,8),"0")</f>
        <v>1728239.8571476238</v>
      </c>
      <c r="BC81" s="540">
        <f>IFERROR(HLOOKUP(BC77,'Sponsoring marketplace'!$B$55:$BD$63,8),"0")</f>
        <v>1959588.4795672256</v>
      </c>
      <c r="BD81" s="540">
        <f>IFERROR(HLOOKUP(BD77,'Sponsoring marketplace'!$B$55:$BD$63,8),"0")</f>
        <v>2220026.0627755867</v>
      </c>
      <c r="BE81" s="540">
        <f>IFERROR(HLOOKUP(BE77,'Sponsoring marketplace'!$B$55:$BD$63,8),"0")</f>
        <v>2513398.8326065573</v>
      </c>
      <c r="BF81" s="540">
        <f>IFERROR(HLOOKUP(BF77,'Sponsoring marketplace'!$B$55:$BD$63,8),"0")</f>
        <v>2844140.1204645396</v>
      </c>
      <c r="BG81" s="540">
        <f>IFERROR(HLOOKUP(BG77,'Sponsoring marketplace'!$B$55:$BD$63,8),"0")</f>
        <v>3217377.5009748535</v>
      </c>
      <c r="BH81" s="540">
        <f>IFERROR(HLOOKUP(BH77,'Sponsoring marketplace'!$B$55:$BD$63,8),"0")</f>
        <v>3639062.4346201732</v>
      </c>
      <c r="BI81" s="540">
        <f>IFERROR(HLOOKUP(BI77,'Sponsoring marketplace'!$B$55:$BD$63,8),"0")</f>
        <v>4116127.535131664</v>
      </c>
      <c r="BJ81" s="540">
        <f>IFERROR(HLOOKUP(BJ77,'Sponsoring marketplace'!$B$55:$BD$63,8),"0")</f>
        <v>4656677.7898607431</v>
      </c>
    </row>
    <row r="82" spans="1:62" hidden="1" outlineLevel="1" x14ac:dyDescent="0.25">
      <c r="A82" s="1" t="str">
        <f t="shared" si="38"/>
        <v>BM5 : Digital goods marketplace</v>
      </c>
      <c r="C82" s="540" t="str">
        <f>IFERROR(HLOOKUP(C77,'Digital goods marketplace'!$B$55:$BD$62,8),"0")</f>
        <v>0</v>
      </c>
      <c r="D82" s="540" t="str">
        <f>IFERROR(HLOOKUP(D77,'Digital goods marketplace'!$B$55:$BD$62,8),"0")</f>
        <v>0</v>
      </c>
      <c r="E82" s="540" t="str">
        <f>IFERROR(HLOOKUP(E77,'Digital goods marketplace'!$B$55:$BD$62,8),"0")</f>
        <v>0</v>
      </c>
      <c r="F82" s="540" t="str">
        <f>IFERROR(HLOOKUP(F77,'Digital goods marketplace'!$B$55:$BD$62,8),"0")</f>
        <v>0</v>
      </c>
      <c r="G82" s="540" t="str">
        <f>IFERROR(HLOOKUP(G77,'Digital goods marketplace'!$B$55:$BD$62,8),"0")</f>
        <v>0</v>
      </c>
      <c r="H82" s="540" t="str">
        <f>IFERROR(HLOOKUP(H77,'Digital goods marketplace'!$B$55:$BD$62,8),"0")</f>
        <v>0</v>
      </c>
      <c r="I82" s="540" t="str">
        <f>IFERROR(HLOOKUP(I77,'Digital goods marketplace'!$B$55:$BD$62,8),"0")</f>
        <v>0</v>
      </c>
      <c r="J82" s="540" t="str">
        <f>IFERROR(HLOOKUP(J77,'Digital goods marketplace'!$B$55:$BD$62,8),"0")</f>
        <v>0</v>
      </c>
      <c r="K82" s="540" t="str">
        <f>IFERROR(HLOOKUP(K77,'Digital goods marketplace'!$B$55:$BD$62,8),"0")</f>
        <v>0</v>
      </c>
      <c r="L82" s="540" t="str">
        <f>IFERROR(HLOOKUP(L77,'Digital goods marketplace'!$B$55:$BD$62,8),"0")</f>
        <v>0</v>
      </c>
      <c r="M82" s="540" t="str">
        <f>IFERROR(HLOOKUP(M77,'Digital goods marketplace'!$B$55:$BD$62,8),"0")</f>
        <v>0</v>
      </c>
      <c r="N82" s="540" t="str">
        <f>IFERROR(HLOOKUP(N77,'Digital goods marketplace'!$B$55:$BD$62,8),"0")</f>
        <v>0</v>
      </c>
      <c r="O82" s="540" t="str">
        <f>IFERROR(HLOOKUP(O77,'Digital goods marketplace'!$B$55:$BD$62,8),"0")</f>
        <v>0</v>
      </c>
      <c r="P82" s="540" t="str">
        <f>IFERROR(HLOOKUP(P77,'Digital goods marketplace'!$B$55:$BD$62,8),"0")</f>
        <v>0</v>
      </c>
      <c r="Q82" s="540" t="str">
        <f>IFERROR(HLOOKUP(Q77,'Digital goods marketplace'!$B$55:$BD$62,8),"0")</f>
        <v>0</v>
      </c>
      <c r="R82" s="540" t="str">
        <f>IFERROR(HLOOKUP(R77,'Digital goods marketplace'!$B$55:$BD$62,8),"0")</f>
        <v>0</v>
      </c>
      <c r="S82" s="540" t="str">
        <f>IFERROR(HLOOKUP(S77,'Digital goods marketplace'!$B$55:$BD$62,8),"0")</f>
        <v>0</v>
      </c>
      <c r="T82" s="540" t="str">
        <f>IFERROR(HLOOKUP(T77,'Digital goods marketplace'!$B$55:$BD$62,8),"0")</f>
        <v>0</v>
      </c>
      <c r="U82" s="540" t="str">
        <f>IFERROR(HLOOKUP(U77,'Digital goods marketplace'!$B$55:$BD$62,8),"0")</f>
        <v>0</v>
      </c>
      <c r="V82" s="540" t="str">
        <f>IFERROR(HLOOKUP(V77,'Digital goods marketplace'!$B$55:$BD$62,8),"0")</f>
        <v>0</v>
      </c>
      <c r="W82" s="540" t="str">
        <f>IFERROR(HLOOKUP(W77,'Digital goods marketplace'!$B$55:$BD$62,8),"0")</f>
        <v>0</v>
      </c>
      <c r="X82" s="540" t="str">
        <f>IFERROR(HLOOKUP(X77,'Digital goods marketplace'!$B$55:$BD$62,8),"0")</f>
        <v>0</v>
      </c>
      <c r="Y82" s="540" t="str">
        <f>IFERROR(HLOOKUP(Y77,'Digital goods marketplace'!$B$55:$BD$62,8),"0")</f>
        <v>0</v>
      </c>
      <c r="Z82" s="540" t="str">
        <f>IFERROR(HLOOKUP(Z77,'Digital goods marketplace'!$B$55:$BD$62,8),"0")</f>
        <v>0</v>
      </c>
      <c r="AA82" s="540" t="str">
        <f>IFERROR(HLOOKUP(AA77,'Digital goods marketplace'!$B$55:$BD$62,8),"0")</f>
        <v>0</v>
      </c>
      <c r="AB82" s="540">
        <f>IFERROR(HLOOKUP(AB77,'Digital goods marketplace'!$B$55:$BD$62,8),"0")</f>
        <v>2000</v>
      </c>
      <c r="AC82" s="540">
        <f>IFERROR(HLOOKUP(AC77,'Digital goods marketplace'!$B$55:$BD$62,8),"0")</f>
        <v>2000</v>
      </c>
      <c r="AD82" s="540">
        <f>IFERROR(HLOOKUP(AD77,'Digital goods marketplace'!$B$55:$BD$62,8),"0")</f>
        <v>2030</v>
      </c>
      <c r="AE82" s="540">
        <f>IFERROR(HLOOKUP(AE77,'Digital goods marketplace'!$B$55:$BD$62,8),"0")</f>
        <v>2060.4500000000007</v>
      </c>
      <c r="AF82" s="540">
        <f>IFERROR(HLOOKUP(AF77,'Digital goods marketplace'!$B$55:$BD$62,8),"0")</f>
        <v>2091.356749999999</v>
      </c>
      <c r="AG82" s="540">
        <f>IFERROR(HLOOKUP(AG77,'Digital goods marketplace'!$B$55:$BD$62,8),"0")</f>
        <v>15834.522609311543</v>
      </c>
      <c r="AH82" s="540">
        <f>IFERROR(HLOOKUP(AH77,'Digital goods marketplace'!$B$55:$BD$62,8),"0")</f>
        <v>15940.599425991524</v>
      </c>
      <c r="AI82" s="540">
        <f>IFERROR(HLOOKUP(AI77,'Digital goods marketplace'!$B$55:$BD$62,8),"0")</f>
        <v>16048.638574472512</v>
      </c>
      <c r="AJ82" s="540">
        <f>IFERROR(HLOOKUP(AJ77,'Digital goods marketplace'!$B$55:$BD$62,8),"0")</f>
        <v>16158.676913322535</v>
      </c>
      <c r="AK82" s="540">
        <f>IFERROR(HLOOKUP(AK77,'Digital goods marketplace'!$B$55:$BD$62,8),"0")</f>
        <v>16270.752002459965</v>
      </c>
      <c r="AL82" s="540">
        <f>IFERROR(HLOOKUP(AL77,'Digital goods marketplace'!$B$55:$BD$62,8),"0")</f>
        <v>16384.902116643214</v>
      </c>
      <c r="AM82" s="540">
        <f>IFERROR(HLOOKUP(AM77,'Digital goods marketplace'!$B$55:$BD$62,8),"0")</f>
        <v>16501.166259222133</v>
      </c>
      <c r="AN82" s="540">
        <f>IFERROR(HLOOKUP(AN77,'Digital goods marketplace'!$B$55:$BD$62,8),"0")</f>
        <v>16619.584176156328</v>
      </c>
      <c r="AO82" s="540">
        <f>IFERROR(HLOOKUP(AO77,'Digital goods marketplace'!$B$55:$BD$62,8),"0")</f>
        <v>16740.19637030545</v>
      </c>
      <c r="AP82" s="540">
        <f>IFERROR(HLOOKUP(AP77,'Digital goods marketplace'!$B$55:$BD$62,8),"0")</f>
        <v>16863.044115996941</v>
      </c>
      <c r="AQ82" s="540">
        <f>IFERROR(HLOOKUP(AQ77,'Digital goods marketplace'!$B$55:$BD$62,8),"0")</f>
        <v>16988.169473876544</v>
      </c>
      <c r="AR82" s="540">
        <f>IFERROR(HLOOKUP(AR77,'Digital goods marketplace'!$B$55:$BD$62,8),"0")</f>
        <v>17115.615306047133</v>
      </c>
      <c r="AS82" s="540">
        <f>IFERROR(HLOOKUP(AS77,'Digital goods marketplace'!$B$55:$BD$62,8),"0")</f>
        <v>17245.425291501535</v>
      </c>
      <c r="AT82" s="540">
        <f>IFERROR(HLOOKUP(AT77,'Digital goods marketplace'!$B$55:$BD$62,8),"0")</f>
        <v>17377.643941855022</v>
      </c>
      <c r="AU82" s="540">
        <f>IFERROR(HLOOKUP(AU77,'Digital goods marketplace'!$B$55:$BD$62,8),"0")</f>
        <v>17512.316617383432</v>
      </c>
      <c r="AV82" s="540">
        <f>IFERROR(HLOOKUP(AV77,'Digital goods marketplace'!$B$55:$BD$62,8),"0")</f>
        <v>17649.489543372783</v>
      </c>
      <c r="AW82" s="540">
        <f>IFERROR(HLOOKUP(AW77,'Digital goods marketplace'!$B$55:$BD$62,8),"0")</f>
        <v>17789.20982678654</v>
      </c>
      <c r="AX82" s="540">
        <f>IFERROR(HLOOKUP(AX77,'Digital goods marketplace'!$B$55:$BD$62,8),"0")</f>
        <v>17931.52547325677</v>
      </c>
      <c r="AY82" s="540">
        <f>IFERROR(HLOOKUP(AY77,'Digital goods marketplace'!$B$55:$BD$62,8),"0")</f>
        <v>18076.485404405423</v>
      </c>
      <c r="AZ82" s="540">
        <f>IFERROR(HLOOKUP(AZ77,'Digital goods marketplace'!$B$55:$BD$62,8),"0")</f>
        <v>18224.139475502303</v>
      </c>
      <c r="BA82" s="540">
        <f>IFERROR(HLOOKUP(BA77,'Digital goods marketplace'!$B$55:$BD$62,8),"0")</f>
        <v>18374.538493466247</v>
      </c>
      <c r="BB82" s="540">
        <f>IFERROR(HLOOKUP(BB77,'Digital goods marketplace'!$B$55:$BD$62,8),"0")</f>
        <v>18527.734235216281</v>
      </c>
      <c r="BC82" s="540">
        <f>IFERROR(HLOOKUP(BC77,'Digital goods marketplace'!$B$55:$BD$62,8),"0")</f>
        <v>18683.779466379528</v>
      </c>
      <c r="BD82" s="540">
        <f>IFERROR(HLOOKUP(BD77,'Digital goods marketplace'!$B$55:$BD$62,8),"0")</f>
        <v>18842.727960362925</v>
      </c>
      <c r="BE82" s="540">
        <f>IFERROR(HLOOKUP(BE77,'Digital goods marketplace'!$B$55:$BD$62,8),"0")</f>
        <v>19004.634517795821</v>
      </c>
      <c r="BF82" s="540">
        <f>IFERROR(HLOOKUP(BF77,'Digital goods marketplace'!$B$55:$BD$62,8),"0")</f>
        <v>19169.554986350766</v>
      </c>
      <c r="BG82" s="540">
        <f>IFERROR(HLOOKUP(BG77,'Digital goods marketplace'!$B$55:$BD$62,8),"0")</f>
        <v>19337.546280949791</v>
      </c>
      <c r="BH82" s="540">
        <f>IFERROR(HLOOKUP(BH77,'Digital goods marketplace'!$B$55:$BD$62,8),"0")</f>
        <v>19508.666404363878</v>
      </c>
      <c r="BI82" s="540">
        <f>IFERROR(HLOOKUP(BI77,'Digital goods marketplace'!$B$55:$BD$62,8),"0")</f>
        <v>19682.974468213171</v>
      </c>
      <c r="BJ82" s="540">
        <f>IFERROR(HLOOKUP(BJ77,'Digital goods marketplace'!$B$55:$BD$62,8),"0")</f>
        <v>19860.530714375884</v>
      </c>
    </row>
    <row r="83" spans="1:62" hidden="1" outlineLevel="1" x14ac:dyDescent="0.25">
      <c r="A83" s="1" t="str">
        <f t="shared" si="38"/>
        <v>BM6 : Media rights marketplace</v>
      </c>
      <c r="C83" s="540" t="str">
        <f>IFERROR(HLOOKUP(C77,'Media rights marketplace'!$B$71:$BD$78,8),"0")</f>
        <v>0</v>
      </c>
      <c r="D83" s="540" t="str">
        <f>IFERROR(HLOOKUP(D77,'Media rights marketplace'!$B$71:$BD$78,8),"0")</f>
        <v>0</v>
      </c>
      <c r="E83" s="540" t="str">
        <f>IFERROR(HLOOKUP(E77,'Media rights marketplace'!$B$71:$BD$78,8),"0")</f>
        <v>0</v>
      </c>
      <c r="F83" s="540" t="str">
        <f>IFERROR(HLOOKUP(F77,'Media rights marketplace'!$B$71:$BD$78,8),"0")</f>
        <v>0</v>
      </c>
      <c r="G83" s="540" t="str">
        <f>IFERROR(HLOOKUP(G77,'Media rights marketplace'!$B$71:$BD$78,8),"0")</f>
        <v>0</v>
      </c>
      <c r="H83" s="540" t="str">
        <f>IFERROR(HLOOKUP(H77,'Media rights marketplace'!$B$71:$BD$78,8),"0")</f>
        <v>0</v>
      </c>
      <c r="I83" s="540" t="str">
        <f>IFERROR(HLOOKUP(I77,'Media rights marketplace'!$B$71:$BD$78,8),"0")</f>
        <v>0</v>
      </c>
      <c r="J83" s="540" t="str">
        <f>IFERROR(HLOOKUP(J77,'Media rights marketplace'!$B$71:$BD$78,8),"0")</f>
        <v>0</v>
      </c>
      <c r="K83" s="540" t="str">
        <f>IFERROR(HLOOKUP(K77,'Media rights marketplace'!$B$71:$BD$78,8),"0")</f>
        <v>0</v>
      </c>
      <c r="L83" s="540" t="str">
        <f>IFERROR(HLOOKUP(L77,'Media rights marketplace'!$B$71:$BD$78,8),"0")</f>
        <v>0</v>
      </c>
      <c r="M83" s="540" t="str">
        <f>IFERROR(HLOOKUP(M77,'Media rights marketplace'!$B$71:$BD$78,8),"0")</f>
        <v>0</v>
      </c>
      <c r="N83" s="540" t="str">
        <f>IFERROR(HLOOKUP(N77,'Media rights marketplace'!$B$71:$BD$78,8),"0")</f>
        <v>0</v>
      </c>
      <c r="O83" s="540" t="str">
        <f>IFERROR(HLOOKUP(O77,'Media rights marketplace'!$B$71:$BD$78,8),"0")</f>
        <v>0</v>
      </c>
      <c r="P83" s="540" t="str">
        <f>IFERROR(HLOOKUP(P77,'Media rights marketplace'!$B$71:$BD$78,8),"0")</f>
        <v>0</v>
      </c>
      <c r="Q83" s="540" t="str">
        <f>IFERROR(HLOOKUP(Q77,'Media rights marketplace'!$B$71:$BD$78,8),"0")</f>
        <v>0</v>
      </c>
      <c r="R83" s="540" t="str">
        <f>IFERROR(HLOOKUP(R77,'Media rights marketplace'!$B$71:$BD$78,8),"0")</f>
        <v>0</v>
      </c>
      <c r="S83" s="540" t="str">
        <f>IFERROR(HLOOKUP(S77,'Media rights marketplace'!$B$71:$BD$78,8),"0")</f>
        <v>0</v>
      </c>
      <c r="T83" s="540" t="str">
        <f>IFERROR(HLOOKUP(T77,'Media rights marketplace'!$B$71:$BD$78,8),"0")</f>
        <v>0</v>
      </c>
      <c r="U83" s="540" t="str">
        <f>IFERROR(HLOOKUP(U77,'Media rights marketplace'!$B$71:$BD$78,8),"0")</f>
        <v>0</v>
      </c>
      <c r="V83" s="540" t="str">
        <f>IFERROR(HLOOKUP(V77,'Media rights marketplace'!$B$71:$BD$78,8),"0")</f>
        <v>0</v>
      </c>
      <c r="W83" s="540" t="str">
        <f>IFERROR(HLOOKUP(W77,'Media rights marketplace'!$B$71:$BD$78,8),"0")</f>
        <v>0</v>
      </c>
      <c r="X83" s="540" t="str">
        <f>IFERROR(HLOOKUP(X77,'Media rights marketplace'!$B$71:$BD$78,8),"0")</f>
        <v>0</v>
      </c>
      <c r="Y83" s="540" t="str">
        <f>IFERROR(HLOOKUP(Y77,'Media rights marketplace'!$B$71:$BD$78,8),"0")</f>
        <v>0</v>
      </c>
      <c r="Z83" s="540" t="str">
        <f>IFERROR(HLOOKUP(Z77,'Media rights marketplace'!$B$71:$BD$78,8),"0")</f>
        <v>0</v>
      </c>
      <c r="AA83" s="540" t="str">
        <f>IFERROR(HLOOKUP(AA77,'Media rights marketplace'!$B$71:$BD$78,8),"0")</f>
        <v>0</v>
      </c>
      <c r="AB83" s="540">
        <f>IFERROR(HLOOKUP(AB77,'Media rights marketplace'!$B$71:$BD$78,8),"0")</f>
        <v>2000</v>
      </c>
      <c r="AC83" s="540">
        <f>IFERROR(HLOOKUP(AC77,'Media rights marketplace'!$B$71:$BD$78,8),"0")</f>
        <v>2000</v>
      </c>
      <c r="AD83" s="540">
        <f>IFERROR(HLOOKUP(AD77,'Media rights marketplace'!$B$71:$BD$78,8),"0")</f>
        <v>2030</v>
      </c>
      <c r="AE83" s="540">
        <f>IFERROR(HLOOKUP(AE77,'Media rights marketplace'!$B$71:$BD$78,8),"0")</f>
        <v>2060.4500000000007</v>
      </c>
      <c r="AF83" s="540">
        <f>IFERROR(HLOOKUP(AF77,'Media rights marketplace'!$B$71:$BD$78,8),"0")</f>
        <v>2091.356749999999</v>
      </c>
      <c r="AG83" s="540">
        <f>IFERROR(HLOOKUP(AG77,'Media rights marketplace'!$B$71:$BD$78,8),"0")</f>
        <v>2122.7271012499987</v>
      </c>
      <c r="AH83" s="540">
        <f>IFERROR(HLOOKUP(AH77,'Media rights marketplace'!$B$71:$BD$78,8),"0")</f>
        <v>2154.5680077687484</v>
      </c>
      <c r="AI83" s="540">
        <f>IFERROR(HLOOKUP(AI77,'Media rights marketplace'!$B$71:$BD$78,8),"0")</f>
        <v>2186.8865278852791</v>
      </c>
      <c r="AJ83" s="540">
        <f>IFERROR(HLOOKUP(AJ77,'Media rights marketplace'!$B$71:$BD$78,8),"0")</f>
        <v>63700.363299806137</v>
      </c>
      <c r="AK83" s="540">
        <f>IFERROR(HLOOKUP(AK77,'Media rights marketplace'!$B$71:$BD$78,8),"0")</f>
        <v>66922.465786097644</v>
      </c>
      <c r="AL83" s="540">
        <f>IFERROR(HLOOKUP(AL77,'Media rights marketplace'!$B$71:$BD$78,8),"0")</f>
        <v>70174.034099054494</v>
      </c>
      <c r="AM83" s="540">
        <f>IFERROR(HLOOKUP(AM77,'Media rights marketplace'!$B$71:$BD$78,8),"0")</f>
        <v>73457.277256157162</v>
      </c>
      <c r="AN83" s="540">
        <f>IFERROR(HLOOKUP(AN77,'Media rights marketplace'!$B$71:$BD$78,8),"0")</f>
        <v>78210.835021551175</v>
      </c>
      <c r="AO83" s="540">
        <f>IFERROR(HLOOKUP(AO77,'Media rights marketplace'!$B$71:$BD$78,8),"0")</f>
        <v>83008.671004037024</v>
      </c>
      <c r="AP83" s="540">
        <f>IFERROR(HLOOKUP(AP77,'Media rights marketplace'!$B$71:$BD$78,8),"0")</f>
        <v>87854.141283162113</v>
      </c>
      <c r="AQ83" s="540">
        <f>IFERROR(HLOOKUP(AQ77,'Media rights marketplace'!$B$71:$BD$78,8),"0")</f>
        <v>92751.104292863034</v>
      </c>
      <c r="AR83" s="540">
        <f>IFERROR(HLOOKUP(AR77,'Media rights marketplace'!$B$71:$BD$78,8),"0")</f>
        <v>97703.996158760943</v>
      </c>
      <c r="AS83" s="540">
        <f>IFERROR(HLOOKUP(AS77,'Media rights marketplace'!$B$71:$BD$78,8),"0")</f>
        <v>102717.91733581301</v>
      </c>
      <c r="AT83" s="540">
        <f>IFERROR(HLOOKUP(AT77,'Media rights marketplace'!$B$71:$BD$78,8),"0")</f>
        <v>107798.73224137054</v>
      </c>
      <c r="AU83" s="540">
        <f>IFERROR(HLOOKUP(AU77,'Media rights marketplace'!$B$71:$BD$78,8),"0")</f>
        <v>112953.18383294989</v>
      </c>
      <c r="AV83" s="540">
        <f>IFERROR(HLOOKUP(AV77,'Media rights marketplace'!$B$71:$BD$78,8),"0")</f>
        <v>118189.02537242101</v>
      </c>
      <c r="AW83" s="540">
        <f>IFERROR(HLOOKUP(AW77,'Media rights marketplace'!$B$71:$BD$78,8),"0")</f>
        <v>123515.17195457124</v>
      </c>
      <c r="AX83" s="540">
        <f>IFERROR(HLOOKUP(AX77,'Media rights marketplace'!$B$71:$BD$78,8),"0")</f>
        <v>128941.87476469754</v>
      </c>
      <c r="AY83" s="540">
        <f>IFERROR(HLOOKUP(AY77,'Media rights marketplace'!$B$71:$BD$78,8),"0")</f>
        <v>134480.92147457716</v>
      </c>
      <c r="AZ83" s="540">
        <f>IFERROR(HLOOKUP(AZ77,'Media rights marketplace'!$B$71:$BD$78,8),"0")</f>
        <v>141007.52694080371</v>
      </c>
      <c r="BA83" s="540">
        <f>IFERROR(HLOOKUP(BA77,'Media rights marketplace'!$B$71:$BD$78,8),"0")</f>
        <v>147679.90436506778</v>
      </c>
      <c r="BB83" s="540">
        <f>IFERROR(HLOOKUP(BB77,'Media rights marketplace'!$B$71:$BD$78,8),"0")</f>
        <v>154515.97706638672</v>
      </c>
      <c r="BC83" s="540">
        <f>IFERROR(HLOOKUP(BC77,'Media rights marketplace'!$B$71:$BD$78,8),"0")</f>
        <v>161536.61628132086</v>
      </c>
      <c r="BD83" s="540">
        <f>IFERROR(HLOOKUP(BD77,'Media rights marketplace'!$B$71:$BD$78,8),"0")</f>
        <v>168765.3025772511</v>
      </c>
      <c r="BE83" s="540">
        <f>IFERROR(HLOOKUP(BE77,'Media rights marketplace'!$B$71:$BD$78,8),"0")</f>
        <v>176229.296691203</v>
      </c>
      <c r="BF83" s="540">
        <f>IFERROR(HLOOKUP(BF77,'Media rights marketplace'!$B$71:$BD$78,8),"0")</f>
        <v>183959.94714858208</v>
      </c>
      <c r="BG83" s="540">
        <f>IFERROR(HLOOKUP(BG77,'Media rights marketplace'!$B$71:$BD$78,8),"0")</f>
        <v>191993.30341159806</v>
      </c>
      <c r="BH83" s="540">
        <f>IFERROR(HLOOKUP(BH77,'Media rights marketplace'!$B$71:$BD$78,8),"0")</f>
        <v>200370.82099965538</v>
      </c>
      <c r="BI83" s="540">
        <f>IFERROR(HLOOKUP(BI77,'Media rights marketplace'!$B$71:$BD$78,8),"0")</f>
        <v>209140.17237750048</v>
      </c>
      <c r="BJ83" s="540">
        <f>IFERROR(HLOOKUP(BJ77,'Media rights marketplace'!$B$71:$BD$78,8),"0")</f>
        <v>218356.17947628465</v>
      </c>
    </row>
    <row r="84" spans="1:62" hidden="1" outlineLevel="1" x14ac:dyDescent="0.25">
      <c r="A84" s="1" t="str">
        <f t="shared" si="38"/>
        <v>BM7 : Titrisation</v>
      </c>
      <c r="C84" s="540" t="str">
        <f>IFERROR(HLOOKUP(C77,Titrisation!$B$69:$BD$76,8),"0")</f>
        <v>0</v>
      </c>
      <c r="D84" s="540" t="str">
        <f>IFERROR(HLOOKUP(D77,Titrisation!$B$69:$BD$76,8),"0")</f>
        <v>0</v>
      </c>
      <c r="E84" s="540" t="str">
        <f>IFERROR(HLOOKUP(E77,Titrisation!$B$69:$BD$76,8),"0")</f>
        <v>0</v>
      </c>
      <c r="F84" s="540" t="str">
        <f>IFERROR(HLOOKUP(F77,Titrisation!$B$69:$BD$76,8),"0")</f>
        <v>0</v>
      </c>
      <c r="G84" s="540" t="str">
        <f>IFERROR(HLOOKUP(G77,Titrisation!$B$69:$BD$76,8),"0")</f>
        <v>0</v>
      </c>
      <c r="H84" s="540" t="str">
        <f>IFERROR(HLOOKUP(H77,Titrisation!$B$69:$BD$76,8),"0")</f>
        <v>0</v>
      </c>
      <c r="I84" s="540" t="str">
        <f>IFERROR(HLOOKUP(I77,Titrisation!$B$69:$BD$76,8),"0")</f>
        <v>0</v>
      </c>
      <c r="J84" s="540" t="str">
        <f>IFERROR(HLOOKUP(J77,Titrisation!$B$69:$BD$76,8),"0")</f>
        <v>0</v>
      </c>
      <c r="K84" s="540" t="str">
        <f>IFERROR(HLOOKUP(K77,Titrisation!$B$69:$BD$76,8),"0")</f>
        <v>0</v>
      </c>
      <c r="L84" s="540" t="str">
        <f>IFERROR(HLOOKUP(L77,Titrisation!$B$69:$BD$76,8),"0")</f>
        <v>0</v>
      </c>
      <c r="M84" s="540" t="str">
        <f>IFERROR(HLOOKUP(M77,Titrisation!$B$69:$BD$76,8),"0")</f>
        <v>0</v>
      </c>
      <c r="N84" s="540" t="str">
        <f>IFERROR(HLOOKUP(N77,Titrisation!$B$69:$BD$76,8),"0")</f>
        <v>0</v>
      </c>
      <c r="O84" s="540" t="str">
        <f>IFERROR(HLOOKUP(O77,Titrisation!$B$69:$BD$76,8),"0")</f>
        <v>0</v>
      </c>
      <c r="P84" s="540" t="str">
        <f>IFERROR(HLOOKUP(P77,Titrisation!$B$69:$BD$76,8),"0")</f>
        <v>0</v>
      </c>
      <c r="Q84" s="540" t="str">
        <f>IFERROR(HLOOKUP(Q77,Titrisation!$B$69:$BD$76,8),"0")</f>
        <v>0</v>
      </c>
      <c r="R84" s="540" t="str">
        <f>IFERROR(HLOOKUP(R77,Titrisation!$B$69:$BD$76,8),"0")</f>
        <v>0</v>
      </c>
      <c r="S84" s="540">
        <f>IFERROR(HLOOKUP(S77,Titrisation!$B$69:$BD$76,8),"0")</f>
        <v>5000</v>
      </c>
      <c r="T84" s="540">
        <f>IFERROR(HLOOKUP(T77,Titrisation!$B$69:$BD$76,8),"0")</f>
        <v>5075</v>
      </c>
      <c r="U84" s="540">
        <f>IFERROR(HLOOKUP(U77,Titrisation!$B$69:$BD$76,8),"0")</f>
        <v>5075</v>
      </c>
      <c r="V84" s="540">
        <f>IFERROR(HLOOKUP(V77,Titrisation!$B$69:$BD$76,8),"0")</f>
        <v>5151.125</v>
      </c>
      <c r="W84" s="540">
        <f>IFERROR(HLOOKUP(W77,Titrisation!$B$69:$BD$76,8),"0")</f>
        <v>5228.3918749999975</v>
      </c>
      <c r="X84" s="540">
        <f>IFERROR(HLOOKUP(X77,Titrisation!$B$69:$BD$76,8),"0")</f>
        <v>5306.8177531249967</v>
      </c>
      <c r="Y84" s="540">
        <f>IFERROR(HLOOKUP(Y77,Titrisation!$B$69:$BD$76,8),"0")</f>
        <v>5386.420019421872</v>
      </c>
      <c r="Z84" s="540">
        <f>IFERROR(HLOOKUP(Z77,Titrisation!$B$69:$BD$76,8),"0")</f>
        <v>5467.2163197131995</v>
      </c>
      <c r="AA84" s="540">
        <f>IFERROR(HLOOKUP(AA77,Titrisation!$B$69:$BD$76,8),"0")</f>
        <v>5549.2245645088951</v>
      </c>
      <c r="AB84" s="540">
        <f>IFERROR(HLOOKUP(AB77,Titrisation!$B$69:$BD$76,8),"0")</f>
        <v>78832.46293297653</v>
      </c>
      <c r="AC84" s="540">
        <f>IFERROR(HLOOKUP(AC77,Titrisation!$B$69:$BD$76,8),"0")</f>
        <v>80080.949876971179</v>
      </c>
      <c r="AD84" s="540">
        <f>IFERROR(HLOOKUP(AD77,Titrisation!$B$69:$BD$76,8),"0")</f>
        <v>81353.984125125746</v>
      </c>
      <c r="AE84" s="540">
        <f>IFERROR(HLOOKUP(AE77,Titrisation!$B$69:$BD$76,8),"0")</f>
        <v>82652.050287002639</v>
      </c>
      <c r="AF84" s="540">
        <f>IFERROR(HLOOKUP(AF77,Titrisation!$B$69:$BD$76,8),"0")</f>
        <v>83975.642569307674</v>
      </c>
      <c r="AG84" s="540">
        <f>IFERROR(HLOOKUP(AG77,Titrisation!$B$69:$BD$76,8),"0")</f>
        <v>85325.264966407296</v>
      </c>
      <c r="AH84" s="540">
        <f>IFERROR(HLOOKUP(AH77,Titrisation!$B$69:$BD$76,8),"0")</f>
        <v>86701.431454634614</v>
      </c>
      <c r="AI84" s="540">
        <f>IFERROR(HLOOKUP(AI77,Titrisation!$B$69:$BD$76,8),"0")</f>
        <v>88104.666190459946</v>
      </c>
      <c r="AJ84" s="540">
        <f>IFERROR(HLOOKUP(AJ77,Titrisation!$B$69:$BD$76,8),"0")</f>
        <v>89535.503712602789</v>
      </c>
      <c r="AK84" s="540">
        <f>IFERROR(HLOOKUP(AK77,Titrisation!$B$69:$BD$76,8),"0")</f>
        <v>90994.489148163499</v>
      </c>
      <c r="AL84" s="540">
        <f>IFERROR(HLOOKUP(AL77,Titrisation!$B$69:$BD$76,8),"0")</f>
        <v>92482.178422855039</v>
      </c>
      <c r="AM84" s="540">
        <f>IFERROR(HLOOKUP(AM77,Titrisation!$B$69:$BD$76,8),"0")</f>
        <v>93999.138475416345</v>
      </c>
      <c r="AN84" s="540">
        <f>IFERROR(HLOOKUP(AN77,Titrisation!$B$69:$BD$76,8),"0")</f>
        <v>95545.947476290428</v>
      </c>
      <c r="AO84" s="540">
        <f>IFERROR(HLOOKUP(AO77,Titrisation!$B$69:$BD$76,8),"0")</f>
        <v>97123.195050652488</v>
      </c>
      <c r="AP84" s="540">
        <f>IFERROR(HLOOKUP(AP77,Titrisation!$B$69:$BD$76,8),"0")</f>
        <v>98731.48250587433</v>
      </c>
      <c r="AQ84" s="540">
        <f>IFERROR(HLOOKUP(AQ77,Titrisation!$B$69:$BD$76,8),"0")</f>
        <v>100371.42306351374</v>
      </c>
      <c r="AR84" s="540">
        <f>IFERROR(HLOOKUP(AR77,Titrisation!$B$69:$BD$76,8),"0")</f>
        <v>102043.64209591878</v>
      </c>
      <c r="AS84" s="540">
        <f>IFERROR(HLOOKUP(AS77,Titrisation!$B$69:$BD$76,8),"0")</f>
        <v>103748.77736753892</v>
      </c>
      <c r="AT84" s="540">
        <f>IFERROR(HLOOKUP(AT77,Titrisation!$B$69:$BD$76,8),"0")</f>
        <v>105487.47928103698</v>
      </c>
      <c r="AU84" s="540">
        <f>IFERROR(HLOOKUP(AU77,Titrisation!$B$69:$BD$76,8),"0")</f>
        <v>107260.41112829727</v>
      </c>
      <c r="AV84" s="540">
        <f>IFERROR(HLOOKUP(AV77,Titrisation!$B$69:$BD$76,8),"0")</f>
        <v>109068.24934642731</v>
      </c>
      <c r="AW84" s="540">
        <f>IFERROR(HLOOKUP(AW77,Titrisation!$B$69:$BD$76,8),"0")</f>
        <v>110911.68377885343</v>
      </c>
      <c r="AX84" s="540">
        <f>IFERROR(HLOOKUP(AX77,Titrisation!$B$69:$BD$76,8),"0")</f>
        <v>112791.4179416105</v>
      </c>
      <c r="AY84" s="540">
        <f>IFERROR(HLOOKUP(AY77,Titrisation!$B$69:$BD$76,8),"0")</f>
        <v>114708.16929493046</v>
      </c>
      <c r="AZ84" s="540">
        <f>IFERROR(HLOOKUP(AZ77,Titrisation!$B$69:$BD$76,8),"0")</f>
        <v>116662.66952023412</v>
      </c>
      <c r="BA84" s="540">
        <f>IFERROR(HLOOKUP(BA77,Titrisation!$B$69:$BD$76,8),"0")</f>
        <v>118655.66480263493</v>
      </c>
      <c r="BB84" s="540">
        <f>IFERROR(HLOOKUP(BB77,Titrisation!$B$69:$BD$76,8),"0")</f>
        <v>120687.91611906368</v>
      </c>
      <c r="BC84" s="540">
        <f>IFERROR(HLOOKUP(BC77,Titrisation!$B$69:$BD$76,8),"0")</f>
        <v>122760.19953212666</v>
      </c>
      <c r="BD84" s="540">
        <f>IFERROR(HLOOKUP(BD77,Titrisation!$B$69:$BD$76,8),"0")</f>
        <v>124873.30648981112</v>
      </c>
      <c r="BE84" s="540">
        <f>IFERROR(HLOOKUP(BE77,Titrisation!$B$69:$BD$76,8),"0")</f>
        <v>127028.04413115491</v>
      </c>
      <c r="BF84" s="540">
        <f>IFERROR(HLOOKUP(BF77,Titrisation!$B$69:$BD$76,8),"0")</f>
        <v>129225.23559799879</v>
      </c>
      <c r="BG84" s="540">
        <f>IFERROR(HLOOKUP(BG77,Titrisation!$B$69:$BD$76,8),"0")</f>
        <v>131465.72035294285</v>
      </c>
      <c r="BH84" s="540">
        <f>IFERROR(HLOOKUP(BH77,Titrisation!$B$69:$BD$76,8),"0")</f>
        <v>133750.35450363051</v>
      </c>
      <c r="BI84" s="540">
        <f>IFERROR(HLOOKUP(BI77,Titrisation!$B$69:$BD$76,8),"0")</f>
        <v>136080.01113348643</v>
      </c>
      <c r="BJ84" s="540">
        <f>IFERROR(HLOOKUP(BJ77,Titrisation!$B$69:$BD$76,8),"0")</f>
        <v>138455.58063903617</v>
      </c>
    </row>
    <row r="85" spans="1:62" hidden="1" outlineLevel="1" x14ac:dyDescent="0.25">
      <c r="A85" s="1" t="str">
        <f t="shared" si="38"/>
        <v>BM8 : Cash to digital</v>
      </c>
      <c r="C85" s="540" t="str">
        <f>IFERROR(HLOOKUP(C77,'Cash to digital'!$B$55:$BD$62,8),"0")</f>
        <v>0</v>
      </c>
      <c r="D85" s="540" t="str">
        <f>IFERROR(HLOOKUP(D77,'Cash to digital'!$B$55:$BD$62,8),"0")</f>
        <v>0</v>
      </c>
      <c r="E85" s="540" t="str">
        <f>IFERROR(HLOOKUP(E77,'Cash to digital'!$B$55:$BD$62,8),"0")</f>
        <v>0</v>
      </c>
      <c r="F85" s="540" t="str">
        <f>IFERROR(HLOOKUP(F77,'Cash to digital'!$B$55:$BD$62,8),"0")</f>
        <v>0</v>
      </c>
      <c r="G85" s="540" t="str">
        <f>IFERROR(HLOOKUP(G77,'Cash to digital'!$B$55:$BD$62,8),"0")</f>
        <v>0</v>
      </c>
      <c r="H85" s="540" t="str">
        <f>IFERROR(HLOOKUP(H77,'Cash to digital'!$B$55:$BD$62,8),"0")</f>
        <v>0</v>
      </c>
      <c r="I85" s="540" t="str">
        <f>IFERROR(HLOOKUP(I77,'Cash to digital'!$B$55:$BD$62,8),"0")</f>
        <v>0</v>
      </c>
      <c r="J85" s="540" t="str">
        <f>IFERROR(HLOOKUP(J77,'Cash to digital'!$B$55:$BD$62,8),"0")</f>
        <v>0</v>
      </c>
      <c r="K85" s="540" t="str">
        <f>IFERROR(HLOOKUP(K77,'Cash to digital'!$B$55:$BD$62,8),"0")</f>
        <v>0</v>
      </c>
      <c r="L85" s="540" t="str">
        <f>IFERROR(HLOOKUP(L77,'Cash to digital'!$B$55:$BD$62,8),"0")</f>
        <v>0</v>
      </c>
      <c r="M85" s="540" t="str">
        <f>IFERROR(HLOOKUP(M77,'Cash to digital'!$B$55:$BD$62,8),"0")</f>
        <v>0</v>
      </c>
      <c r="N85" s="540" t="str">
        <f>IFERROR(HLOOKUP(N77,'Cash to digital'!$B$55:$BD$62,8),"0")</f>
        <v>0</v>
      </c>
      <c r="O85" s="540" t="str">
        <f>IFERROR(HLOOKUP(O77,'Cash to digital'!$B$55:$BD$62,8),"0")</f>
        <v>0</v>
      </c>
      <c r="P85" s="540" t="str">
        <f>IFERROR(HLOOKUP(P77,'Cash to digital'!$B$55:$BD$62,8),"0")</f>
        <v>0</v>
      </c>
      <c r="Q85" s="540">
        <f>IFERROR(HLOOKUP(Q77,'Cash to digital'!$B$55:$BD$62,8),"0")</f>
        <v>200</v>
      </c>
      <c r="R85" s="540">
        <f>IFERROR(HLOOKUP(R77,'Cash to digital'!$B$55:$BD$62,8),"0")</f>
        <v>203</v>
      </c>
      <c r="S85" s="540">
        <f>IFERROR(HLOOKUP(S77,'Cash to digital'!$B$55:$BD$62,8),"0")</f>
        <v>203</v>
      </c>
      <c r="T85" s="540">
        <f>IFERROR(HLOOKUP(T77,'Cash to digital'!$B$55:$BD$62,8),"0")</f>
        <v>206.04500000000007</v>
      </c>
      <c r="U85" s="540">
        <f>IFERROR(HLOOKUP(U77,'Cash to digital'!$B$55:$BD$62,8),"0")</f>
        <v>1764.0356750000001</v>
      </c>
      <c r="V85" s="540">
        <f>IFERROR(HLOOKUP(V77,'Cash to digital'!$B$55:$BD$62,8),"0")</f>
        <v>1772.6627101250001</v>
      </c>
      <c r="W85" s="540">
        <f>IFERROR(HLOOKUP(W77,'Cash to digital'!$B$55:$BD$62,8),"0")</f>
        <v>1781.8858007768749</v>
      </c>
      <c r="X85" s="540">
        <f>IFERROR(HLOOKUP(X77,'Cash to digital'!$B$55:$BD$62,8),"0")</f>
        <v>1791.760552788528</v>
      </c>
      <c r="Y85" s="540">
        <f>IFERROR(HLOOKUP(Y77,'Cash to digital'!$B$55:$BD$62,8),"0")</f>
        <v>1802.3480725803558</v>
      </c>
      <c r="Z85" s="540">
        <f>IFERROR(HLOOKUP(Z77,'Cash to digital'!$B$55:$BD$62,8),"0")</f>
        <v>1813.7155163190612</v>
      </c>
      <c r="AA85" s="540">
        <f>IFERROR(HLOOKUP(AA77,'Cash to digital'!$B$55:$BD$62,8),"0")</f>
        <v>1825.936693978847</v>
      </c>
      <c r="AB85" s="540">
        <f>IFERROR(HLOOKUP(AB77,'Cash to digital'!$B$55:$BD$62,8),"0")</f>
        <v>1839.0927337950297</v>
      </c>
      <c r="AC85" s="540">
        <f>IFERROR(HLOOKUP(AC77,'Cash to digital'!$B$55:$BD$62,8),"0")</f>
        <v>1853.2728131491053</v>
      </c>
      <c r="AD85" s="540">
        <f>IFERROR(HLOOKUP(AD77,'Cash to digital'!$B$55:$BD$62,8),"0")</f>
        <v>1868.5749625282069</v>
      </c>
      <c r="AE85" s="540">
        <f>IFERROR(HLOOKUP(AE77,'Cash to digital'!$B$55:$BD$62,8),"0")</f>
        <v>1885.1069498661814</v>
      </c>
      <c r="AF85" s="540">
        <f>IFERROR(HLOOKUP(AF77,'Cash to digital'!$B$55:$BD$62,8),"0")</f>
        <v>1902.9872533042305</v>
      </c>
      <c r="AG85" s="540">
        <f>IFERROR(HLOOKUP(AG77,'Cash to digital'!$B$55:$BD$62,8),"0")</f>
        <v>1922.3461312128563</v>
      </c>
      <c r="AH85" s="540">
        <f>IFERROR(HLOOKUP(AH77,'Cash to digital'!$B$55:$BD$62,8),"0")</f>
        <v>1943.3267992010178</v>
      </c>
      <c r="AI85" s="540">
        <f>IFERROR(HLOOKUP(AI77,'Cash to digital'!$B$55:$BD$62,8),"0")</f>
        <v>1966.0867248109985</v>
      </c>
      <c r="AJ85" s="540">
        <f>IFERROR(HLOOKUP(AJ77,'Cash to digital'!$B$55:$BD$62,8),"0")</f>
        <v>1990.7990516673253</v>
      </c>
      <c r="AK85" s="540">
        <f>IFERROR(HLOOKUP(AK77,'Cash to digital'!$B$55:$BD$62,8),"0")</f>
        <v>2017.6541660249134</v>
      </c>
      <c r="AL85" s="540">
        <f>IFERROR(HLOOKUP(AL77,'Cash to digital'!$B$55:$BD$62,8),"0")</f>
        <v>2046.8614199561227</v>
      </c>
      <c r="AM85" s="540">
        <f>IFERROR(HLOOKUP(AM77,'Cash to digital'!$B$55:$BD$62,8),"0")</f>
        <v>2078.651026840384</v>
      </c>
      <c r="AN85" s="540">
        <f>IFERROR(HLOOKUP(AN77,'Cash to digital'!$B$55:$BD$62,8),"0")</f>
        <v>2113.2761463864017</v>
      </c>
      <c r="AO85" s="540">
        <f>IFERROR(HLOOKUP(AO77,'Cash to digital'!$B$55:$BD$62,8),"0")</f>
        <v>2151.0151781399504</v>
      </c>
      <c r="AP85" s="540">
        <f>IFERROR(HLOOKUP(AP77,'Cash to digital'!$B$55:$BD$62,8),"0")</f>
        <v>2192.1742843255774</v>
      </c>
      <c r="AQ85" s="540">
        <f>IFERROR(HLOOKUP(AQ77,'Cash to digital'!$B$55:$BD$62,8),"0")</f>
        <v>2237.0901649553416</v>
      </c>
      <c r="AR85" s="540">
        <f>IFERROR(HLOOKUP(AR77,'Cash to digital'!$B$55:$BD$62,8),"0")</f>
        <v>2286.1331104310402</v>
      </c>
      <c r="AS85" s="540">
        <f>IFERROR(HLOOKUP(AS77,'Cash to digital'!$B$55:$BD$62,8),"0")</f>
        <v>2339.7103593890115</v>
      </c>
      <c r="AT85" s="540">
        <f>IFERROR(HLOOKUP(AT77,'Cash to digital'!$B$55:$BD$62,8),"0")</f>
        <v>2398.2697923115034</v>
      </c>
      <c r="AU85" s="540">
        <f>IFERROR(HLOOKUP(AU77,'Cash to digital'!$B$55:$BD$62,8),"0")</f>
        <v>2462.3039944809975</v>
      </c>
      <c r="AV85" s="540">
        <f>IFERROR(HLOOKUP(AV77,'Cash to digital'!$B$55:$BD$62,8),"0")</f>
        <v>2532.3547252115168</v>
      </c>
      <c r="AW85" s="540">
        <f>IFERROR(HLOOKUP(AW77,'Cash to digital'!$B$55:$BD$62,8),"0")</f>
        <v>2609.0178339843237</v>
      </c>
      <c r="AX85" s="540">
        <f>IFERROR(HLOOKUP(AX77,'Cash to digital'!$B$55:$BD$62,8),"0")</f>
        <v>2692.9486681781864</v>
      </c>
      <c r="AY85" s="540">
        <f>IFERROR(HLOOKUP(AY77,'Cash to digital'!$B$55:$BD$62,8),"0")</f>
        <v>2784.8680215533668</v>
      </c>
      <c r="AZ85" s="540">
        <f>IFERROR(HLOOKUP(AZ77,'Cash to digital'!$B$55:$BD$62,8),"0")</f>
        <v>2885.5686775644258</v>
      </c>
      <c r="BA85" s="540">
        <f>IFERROR(HLOOKUP(BA77,'Cash to digital'!$B$55:$BD$62,8),"0")</f>
        <v>2995.9226069844262</v>
      </c>
      <c r="BB85" s="540">
        <f>IFERROR(HLOOKUP(BB77,'Cash to digital'!$B$55:$BD$62,8),"0")</f>
        <v>3116.8888852713808</v>
      </c>
      <c r="BC85" s="540">
        <f>IFERROR(HLOOKUP(BC77,'Cash to digital'!$B$55:$BD$62,8),"0")</f>
        <v>3249.5224016508582</v>
      </c>
      <c r="BD85" s="540">
        <f>IFERROR(HLOOKUP(BD77,'Cash to digital'!$B$55:$BD$62,8),"0")</f>
        <v>3394.9834390860678</v>
      </c>
      <c r="BE85" s="540">
        <f>IFERROR(HLOOKUP(BE77,'Cash to digital'!$B$55:$BD$62,8),"0")</f>
        <v>3554.5482122238504</v>
      </c>
      <c r="BF85" s="540">
        <f>IFERROR(HLOOKUP(BF77,'Cash to digital'!$B$55:$BD$62,8),"0")</f>
        <v>3729.6204591138494</v>
      </c>
      <c r="BG85" s="540">
        <f>IFERROR(HLOOKUP(BG77,'Cash to digital'!$B$55:$BD$62,8),"0")</f>
        <v>3921.7441920778629</v>
      </c>
      <c r="BH85" s="540">
        <f>IFERROR(HLOOKUP(BH77,'Cash to digital'!$B$55:$BD$62,8),"0")</f>
        <v>4132.6177236440662</v>
      </c>
      <c r="BI85" s="540">
        <f>IFERROR(HLOOKUP(BI77,'Cash to digital'!$B$55:$BD$62,8),"0")</f>
        <v>4364.1090950522657</v>
      </c>
      <c r="BJ85" s="540">
        <f>IFERROR(HLOOKUP(BJ77,'Cash to digital'!$B$55:$BD$62,8),"0")</f>
        <v>4618.2730475869448</v>
      </c>
    </row>
    <row r="86" spans="1:62" collapsed="1" x14ac:dyDescent="0.25">
      <c r="A86" s="197" t="s">
        <v>83</v>
      </c>
      <c r="B86" s="197"/>
      <c r="C86" s="198">
        <f>SUM(C78:C85)</f>
        <v>380.2</v>
      </c>
      <c r="D86" s="198">
        <f t="shared" ref="D86:BJ86" si="39">SUM(D78:D85)</f>
        <v>626.20000000000016</v>
      </c>
      <c r="E86" s="198">
        <f t="shared" si="39"/>
        <v>776.4000000000002</v>
      </c>
      <c r="F86" s="198">
        <f t="shared" si="39"/>
        <v>906.59999999999923</v>
      </c>
      <c r="G86" s="198">
        <f t="shared" si="39"/>
        <v>1138.7999999999993</v>
      </c>
      <c r="H86" s="198">
        <f t="shared" si="39"/>
        <v>1163.9999999999993</v>
      </c>
      <c r="I86" s="198">
        <f t="shared" si="39"/>
        <v>1189.1999999999994</v>
      </c>
      <c r="J86" s="198">
        <f t="shared" si="39"/>
        <v>2054.7999999999993</v>
      </c>
      <c r="K86" s="198">
        <f t="shared" si="39"/>
        <v>3211.5999999999995</v>
      </c>
      <c r="L86" s="198">
        <f t="shared" si="39"/>
        <v>5344.2000000000007</v>
      </c>
      <c r="M86" s="198">
        <f t="shared" si="39"/>
        <v>7950.1999999999989</v>
      </c>
      <c r="N86" s="198">
        <f t="shared" si="39"/>
        <v>20341.799999999996</v>
      </c>
      <c r="O86" s="198">
        <f t="shared" si="39"/>
        <v>21142.487999999998</v>
      </c>
      <c r="P86" s="198">
        <f t="shared" si="39"/>
        <v>41928.214666666667</v>
      </c>
      <c r="Q86" s="198">
        <f t="shared" si="39"/>
        <v>52662.274666666664</v>
      </c>
      <c r="R86" s="198">
        <f t="shared" si="39"/>
        <v>54134.334666666677</v>
      </c>
      <c r="S86" s="198">
        <f t="shared" si="39"/>
        <v>59648.619666666666</v>
      </c>
      <c r="T86" s="198">
        <f t="shared" si="39"/>
        <v>70166.178041666673</v>
      </c>
      <c r="U86" s="198">
        <f t="shared" si="39"/>
        <v>72334.138892291667</v>
      </c>
      <c r="V86" s="198">
        <f t="shared" si="39"/>
        <v>72984.324755676047</v>
      </c>
      <c r="W86" s="198">
        <f t="shared" si="39"/>
        <v>63616.052490344504</v>
      </c>
      <c r="X86" s="198">
        <f t="shared" si="39"/>
        <v>64465.641222699691</v>
      </c>
      <c r="Y86" s="198">
        <f t="shared" si="39"/>
        <v>112600.58637830206</v>
      </c>
      <c r="Z86" s="198">
        <f t="shared" si="39"/>
        <v>116521.13676621266</v>
      </c>
      <c r="AA86" s="198">
        <f t="shared" si="39"/>
        <v>121514.65522275696</v>
      </c>
      <c r="AB86" s="198">
        <f t="shared" si="39"/>
        <v>216874.92621082094</v>
      </c>
      <c r="AC86" s="198">
        <f t="shared" si="39"/>
        <v>226985.20814449634</v>
      </c>
      <c r="AD86" s="198">
        <f t="shared" si="39"/>
        <v>238666.61795061</v>
      </c>
      <c r="AE86" s="198">
        <f t="shared" si="39"/>
        <v>261460.84390974147</v>
      </c>
      <c r="AF86" s="198">
        <f t="shared" si="39"/>
        <v>275848.68253517902</v>
      </c>
      <c r="AG86" s="198">
        <f t="shared" si="39"/>
        <v>305539.40152682137</v>
      </c>
      <c r="AH86" s="198">
        <f t="shared" si="39"/>
        <v>323254.68105454225</v>
      </c>
      <c r="AI86" s="198">
        <f t="shared" si="39"/>
        <v>343160.28812871699</v>
      </c>
      <c r="AJ86" s="198">
        <f t="shared" si="39"/>
        <v>436851.73299568665</v>
      </c>
      <c r="AK86" s="198">
        <f t="shared" si="39"/>
        <v>464642.10946291353</v>
      </c>
      <c r="AL86" s="198">
        <f t="shared" si="39"/>
        <v>495341.75773726648</v>
      </c>
      <c r="AM86" s="198">
        <f t="shared" si="39"/>
        <v>539191.26663634367</v>
      </c>
      <c r="AN86" s="198">
        <f t="shared" si="39"/>
        <v>584023.35163600033</v>
      </c>
      <c r="AO86" s="198">
        <f t="shared" si="39"/>
        <v>633696.83183663618</v>
      </c>
      <c r="AP86" s="198">
        <f t="shared" si="39"/>
        <v>699021.00149111892</v>
      </c>
      <c r="AQ86" s="198">
        <f t="shared" si="39"/>
        <v>760516.77036699466</v>
      </c>
      <c r="AR86" s="198">
        <f t="shared" si="39"/>
        <v>828805.20552639489</v>
      </c>
      <c r="AS86" s="198">
        <f t="shared" si="39"/>
        <v>904647.37268030515</v>
      </c>
      <c r="AT86" s="198">
        <f t="shared" si="39"/>
        <v>989060.71642129193</v>
      </c>
      <c r="AU86" s="198">
        <f t="shared" si="39"/>
        <v>1093037.2693449757</v>
      </c>
      <c r="AV86" s="198">
        <f t="shared" si="39"/>
        <v>1197589.0423667282</v>
      </c>
      <c r="AW86" s="198">
        <f t="shared" si="39"/>
        <v>1314146.0251670179</v>
      </c>
      <c r="AX86" s="198">
        <f t="shared" si="39"/>
        <v>1454107.3200547171</v>
      </c>
      <c r="AY86" s="198">
        <f t="shared" si="39"/>
        <v>1598886.5089643586</v>
      </c>
      <c r="AZ86" s="198">
        <f t="shared" si="39"/>
        <v>1770769.8284157605</v>
      </c>
      <c r="BA86" s="198">
        <f t="shared" si="39"/>
        <v>1972937.0488393216</v>
      </c>
      <c r="BB86" s="198">
        <f t="shared" si="39"/>
        <v>2188582.4222444254</v>
      </c>
      <c r="BC86" s="198">
        <f t="shared" si="39"/>
        <v>2429755.9638543855</v>
      </c>
      <c r="BD86" s="198">
        <f t="shared" si="39"/>
        <v>2700443.4465358956</v>
      </c>
      <c r="BE86" s="198">
        <f t="shared" si="39"/>
        <v>3004405.5006972435</v>
      </c>
      <c r="BF86" s="198">
        <f t="shared" si="39"/>
        <v>3356019.0947641465</v>
      </c>
      <c r="BG86" s="198">
        <f t="shared" si="39"/>
        <v>3740540.29906885</v>
      </c>
      <c r="BH86" s="198">
        <f t="shared" si="39"/>
        <v>4183874.6479790686</v>
      </c>
      <c r="BI86" s="198">
        <f t="shared" si="39"/>
        <v>4672970.2339588339</v>
      </c>
      <c r="BJ86" s="198">
        <f t="shared" si="39"/>
        <v>5226194.8777927132</v>
      </c>
    </row>
    <row r="89" spans="1:62" x14ac:dyDescent="0.25">
      <c r="A89" s="23" t="s">
        <v>627</v>
      </c>
      <c r="B89" s="23">
        <v>2020</v>
      </c>
      <c r="C89" s="23">
        <v>2021</v>
      </c>
      <c r="D89" s="23">
        <v>2022</v>
      </c>
      <c r="E89" s="23">
        <v>2023</v>
      </c>
      <c r="F89" s="23">
        <v>2024</v>
      </c>
    </row>
    <row r="90" spans="1:62" hidden="1" outlineLevel="1" x14ac:dyDescent="0.25">
      <c r="A90" s="1" t="str">
        <f t="shared" ref="A90:A97" si="40">A78</f>
        <v>BM1 : White label websites</v>
      </c>
      <c r="B90" s="119">
        <f t="shared" ref="B90:B98" si="41">SUM(C78:N78)</f>
        <v>28441.399999999994</v>
      </c>
      <c r="C90" s="119">
        <f t="shared" ref="C90:C97" si="42">SUM(O78:Z78)</f>
        <v>106314</v>
      </c>
      <c r="D90" s="119">
        <f t="shared" ref="D90:D97" si="43">SUM(AA78:AL78)</f>
        <v>108564</v>
      </c>
      <c r="E90" s="119">
        <f t="shared" ref="E90:E97" si="44">SUM(AM78:AX78)</f>
        <v>108564</v>
      </c>
      <c r="F90" s="119">
        <f t="shared" ref="F90:F97" si="45">SUM(AY78:BJ78)</f>
        <v>110814</v>
      </c>
    </row>
    <row r="91" spans="1:62" hidden="1" outlineLevel="1" x14ac:dyDescent="0.25">
      <c r="A91" s="1" t="str">
        <f t="shared" si="40"/>
        <v>BM2 : WLW Side revenues</v>
      </c>
      <c r="B91" s="119">
        <f t="shared" si="41"/>
        <v>16642.599999999999</v>
      </c>
      <c r="C91" s="119">
        <f t="shared" si="42"/>
        <v>370348.25199999998</v>
      </c>
      <c r="D91" s="119">
        <f t="shared" si="43"/>
        <v>834258.56599999999</v>
      </c>
      <c r="E91" s="119">
        <f t="shared" si="44"/>
        <v>1309696.8907418</v>
      </c>
      <c r="F91" s="119">
        <f t="shared" si="45"/>
        <v>1786698.0624205607</v>
      </c>
    </row>
    <row r="92" spans="1:62" hidden="1" outlineLevel="1" x14ac:dyDescent="0.25">
      <c r="A92" s="1" t="str">
        <f t="shared" si="40"/>
        <v>BM3 : Advertising</v>
      </c>
      <c r="B92" s="119">
        <f t="shared" si="41"/>
        <v>0</v>
      </c>
      <c r="C92" s="119">
        <f t="shared" si="42"/>
        <v>29432.839106353789</v>
      </c>
      <c r="D92" s="119">
        <f t="shared" si="43"/>
        <v>134690.82799698325</v>
      </c>
      <c r="E92" s="119">
        <f t="shared" si="44"/>
        <v>137564.62090700903</v>
      </c>
      <c r="F92" s="119">
        <f t="shared" si="45"/>
        <v>141000.57993125316</v>
      </c>
    </row>
    <row r="93" spans="1:62" hidden="1" outlineLevel="1" x14ac:dyDescent="0.25">
      <c r="A93" s="1" t="str">
        <f t="shared" si="40"/>
        <v>BM4 : Sponsoring marketplace</v>
      </c>
      <c r="B93" s="119">
        <f t="shared" si="41"/>
        <v>0</v>
      </c>
      <c r="C93" s="119">
        <f t="shared" si="42"/>
        <v>242880.47481265626</v>
      </c>
      <c r="D93" s="119">
        <f t="shared" si="43"/>
        <v>1339714.8669679945</v>
      </c>
      <c r="E93" s="119">
        <f t="shared" si="44"/>
        <v>6763405.5521695344</v>
      </c>
      <c r="F93" s="119">
        <f t="shared" si="45"/>
        <v>30934436.410666715</v>
      </c>
    </row>
    <row r="94" spans="1:62" hidden="1" outlineLevel="1" x14ac:dyDescent="0.25">
      <c r="A94" s="1" t="str">
        <f t="shared" si="40"/>
        <v>BM5 : Digital goods marketplace</v>
      </c>
      <c r="B94" s="119">
        <f t="shared" si="41"/>
        <v>0</v>
      </c>
      <c r="C94" s="119">
        <f t="shared" si="42"/>
        <v>0</v>
      </c>
      <c r="D94" s="119">
        <f t="shared" si="43"/>
        <v>106819.89839220128</v>
      </c>
      <c r="E94" s="119">
        <f t="shared" si="44"/>
        <v>206333.38639576061</v>
      </c>
      <c r="F94" s="119">
        <f t="shared" si="45"/>
        <v>227293.31240738201</v>
      </c>
    </row>
    <row r="95" spans="1:62" hidden="1" outlineLevel="1" x14ac:dyDescent="0.25">
      <c r="A95" s="1" t="str">
        <f t="shared" si="40"/>
        <v>BM6 : Media rights marketplace</v>
      </c>
      <c r="B95" s="119">
        <f t="shared" si="41"/>
        <v>0</v>
      </c>
      <c r="C95" s="119">
        <f t="shared" si="42"/>
        <v>0</v>
      </c>
      <c r="D95" s="119">
        <f t="shared" si="43"/>
        <v>217442.85157186232</v>
      </c>
      <c r="E95" s="119">
        <f t="shared" si="44"/>
        <v>1207101.9305183548</v>
      </c>
      <c r="F95" s="119">
        <f t="shared" si="45"/>
        <v>2088035.9688102312</v>
      </c>
    </row>
    <row r="96" spans="1:62" hidden="1" outlineLevel="1" x14ac:dyDescent="0.25">
      <c r="A96" s="1" t="str">
        <f t="shared" si="40"/>
        <v>BM7 : Titrisation</v>
      </c>
      <c r="B96" s="119">
        <f t="shared" si="41"/>
        <v>0</v>
      </c>
      <c r="C96" s="119">
        <f t="shared" si="42"/>
        <v>41689.970967260073</v>
      </c>
      <c r="D96" s="119">
        <f t="shared" si="43"/>
        <v>945587.84825101588</v>
      </c>
      <c r="E96" s="119">
        <f t="shared" si="44"/>
        <v>1237082.8475114305</v>
      </c>
      <c r="F96" s="119">
        <f t="shared" si="45"/>
        <v>1514352.8721170507</v>
      </c>
    </row>
    <row r="97" spans="1:6" hidden="1" outlineLevel="1" x14ac:dyDescent="0.25">
      <c r="A97" s="1" t="str">
        <f t="shared" si="40"/>
        <v>BM8 : Cash to digital</v>
      </c>
      <c r="B97" s="119">
        <f t="shared" si="41"/>
        <v>0</v>
      </c>
      <c r="C97" s="119">
        <f t="shared" si="42"/>
        <v>11538.453327589821</v>
      </c>
      <c r="D97" s="119">
        <f t="shared" si="43"/>
        <v>23062.045699494836</v>
      </c>
      <c r="E97" s="119">
        <f t="shared" si="44"/>
        <v>28092.945284634232</v>
      </c>
      <c r="F97" s="119">
        <f t="shared" si="45"/>
        <v>42748.666761809363</v>
      </c>
    </row>
    <row r="98" spans="1:6" collapsed="1" x14ac:dyDescent="0.25">
      <c r="A98" s="197" t="s">
        <v>83</v>
      </c>
      <c r="B98" s="541">
        <f t="shared" si="41"/>
        <v>45083.999999999993</v>
      </c>
      <c r="C98" s="541">
        <f t="shared" ref="C98" si="46">SUM(O86:Z86)</f>
        <v>802203.99021385994</v>
      </c>
      <c r="D98" s="541">
        <f t="shared" ref="D98" si="47">SUM(AA86:AL86)</f>
        <v>3710140.9048795518</v>
      </c>
      <c r="E98" s="541">
        <f t="shared" ref="E98" si="48">SUM(AM86:AX86)</f>
        <v>10997842.173528526</v>
      </c>
      <c r="F98" s="541">
        <f t="shared" ref="F98" si="49">SUM(AY86:BJ86)</f>
        <v>36845379.873115003</v>
      </c>
    </row>
  </sheetData>
  <mergeCells count="1">
    <mergeCell ref="A2:B2"/>
  </mergeCells>
  <conditionalFormatting sqref="B75:BJ7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6:BJ73">
    <cfRule type="cellIs" dxfId="32" priority="1" operator="lessThanOr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B241E-49DA-EA46-B843-E90B8B565B99}">
  <sheetPr>
    <tabColor theme="6"/>
  </sheetPr>
  <dimension ref="A1:BJ158"/>
  <sheetViews>
    <sheetView showGridLines="0" zoomScale="133" zoomScaleNormal="90" workbookViewId="0">
      <pane xSplit="1" topLeftCell="B1" activePane="topRight" state="frozen"/>
      <selection activeCell="A102" sqref="A102"/>
      <selection pane="topRight" activeCell="M38" sqref="M38"/>
    </sheetView>
  </sheetViews>
  <sheetFormatPr baseColWidth="10" defaultColWidth="9.1640625" defaultRowHeight="16" outlineLevelRow="1" x14ac:dyDescent="0.25"/>
  <cols>
    <col min="1" max="1" width="27" style="1" customWidth="1"/>
    <col min="2" max="7" width="10.33203125" style="1" customWidth="1"/>
    <col min="8" max="8" width="10.83203125" style="1" customWidth="1"/>
    <col min="9" max="9" width="10.6640625" style="1" customWidth="1"/>
    <col min="10" max="14" width="10.33203125" style="1" customWidth="1"/>
    <col min="15" max="15" width="11.5" style="1" bestFit="1" customWidth="1"/>
    <col min="16" max="57" width="10.1640625" style="1" bestFit="1" customWidth="1"/>
    <col min="58" max="62" width="11.5" style="1" bestFit="1" customWidth="1"/>
    <col min="63" max="16384" width="9.1640625" style="1"/>
  </cols>
  <sheetData>
    <row r="1" spans="1:14" s="4" customFormat="1" x14ac:dyDescent="0.25">
      <c r="A1" s="25" t="s">
        <v>644</v>
      </c>
    </row>
    <row r="2" spans="1:14" x14ac:dyDescent="0.25">
      <c r="A2" s="30" t="s">
        <v>481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4" ht="36" customHeight="1" x14ac:dyDescent="0.25">
      <c r="A3" s="2" t="s">
        <v>212</v>
      </c>
      <c r="B3" s="2"/>
      <c r="C3" s="2"/>
      <c r="D3" s="2"/>
      <c r="E3" s="578" t="s">
        <v>223</v>
      </c>
      <c r="F3" s="578"/>
      <c r="G3" s="2">
        <v>2020</v>
      </c>
      <c r="H3" s="2">
        <f>G3+1</f>
        <v>2021</v>
      </c>
      <c r="I3" s="2">
        <f t="shared" ref="I3:K3" si="0">H3+1</f>
        <v>2022</v>
      </c>
      <c r="J3" s="2">
        <f t="shared" si="0"/>
        <v>2023</v>
      </c>
      <c r="K3" s="2">
        <f t="shared" si="0"/>
        <v>2024</v>
      </c>
      <c r="L3" s="2"/>
      <c r="M3" s="2"/>
      <c r="N3" s="2"/>
    </row>
    <row r="4" spans="1:14" x14ac:dyDescent="0.25">
      <c r="A4" s="1" t="s">
        <v>214</v>
      </c>
      <c r="B4" s="107">
        <v>2</v>
      </c>
      <c r="C4" s="1" t="s">
        <v>237</v>
      </c>
      <c r="D4" s="2"/>
      <c r="E4" s="2"/>
      <c r="F4" s="1" t="s">
        <v>214</v>
      </c>
      <c r="G4" s="110">
        <v>0.3</v>
      </c>
      <c r="H4" s="110">
        <f>G4+(G4*H8)</f>
        <v>0.27899999999999997</v>
      </c>
      <c r="I4" s="110">
        <f t="shared" ref="I4:K4" si="1">H4+(H4*I8)</f>
        <v>0.26225999999999999</v>
      </c>
      <c r="J4" s="110">
        <f t="shared" si="1"/>
        <v>0.25176959999999998</v>
      </c>
      <c r="K4" s="110">
        <f t="shared" si="1"/>
        <v>0.244216512</v>
      </c>
      <c r="L4" s="2"/>
      <c r="M4" s="2"/>
      <c r="N4" s="2"/>
    </row>
    <row r="5" spans="1:14" x14ac:dyDescent="0.25">
      <c r="A5" s="1" t="s">
        <v>213</v>
      </c>
      <c r="B5" s="107">
        <v>3</v>
      </c>
      <c r="C5" s="1" t="s">
        <v>237</v>
      </c>
      <c r="F5" s="1" t="s">
        <v>213</v>
      </c>
      <c r="G5" s="110">
        <v>0.7</v>
      </c>
      <c r="H5" s="110">
        <f>G5+(G5*H9)</f>
        <v>0.72099999999999997</v>
      </c>
      <c r="I5" s="110">
        <f t="shared" ref="I5:K5" si="2">H5+(H5*I9)</f>
        <v>0.73541999999999996</v>
      </c>
      <c r="J5" s="110">
        <f t="shared" si="2"/>
        <v>0.74645129999999993</v>
      </c>
      <c r="K5" s="110">
        <f t="shared" si="2"/>
        <v>0.75615516689999995</v>
      </c>
    </row>
    <row r="6" spans="1:14" ht="16" customHeight="1" x14ac:dyDescent="0.25"/>
    <row r="7" spans="1:14" ht="16" customHeight="1" x14ac:dyDescent="0.25">
      <c r="A7" s="578" t="s">
        <v>216</v>
      </c>
      <c r="B7" s="578"/>
      <c r="E7" s="578" t="s">
        <v>224</v>
      </c>
      <c r="F7" s="578"/>
      <c r="G7" s="2">
        <v>2020</v>
      </c>
      <c r="H7" s="2">
        <f>G7+1</f>
        <v>2021</v>
      </c>
      <c r="I7" s="2">
        <f t="shared" ref="I7:K7" si="3">H7+1</f>
        <v>2022</v>
      </c>
      <c r="J7" s="2">
        <f t="shared" si="3"/>
        <v>2023</v>
      </c>
      <c r="K7" s="2">
        <f t="shared" si="3"/>
        <v>2024</v>
      </c>
    </row>
    <row r="8" spans="1:14" x14ac:dyDescent="0.25">
      <c r="A8" s="1" t="s">
        <v>214</v>
      </c>
      <c r="B8" s="107">
        <v>12</v>
      </c>
      <c r="C8" s="1" t="s">
        <v>215</v>
      </c>
      <c r="F8" s="1" t="s">
        <v>214</v>
      </c>
      <c r="G8" s="110"/>
      <c r="H8" s="110">
        <v>-7.0000000000000007E-2</v>
      </c>
      <c r="I8" s="110">
        <v>-0.06</v>
      </c>
      <c r="J8" s="110">
        <v>-0.04</v>
      </c>
      <c r="K8" s="110">
        <v>-0.03</v>
      </c>
    </row>
    <row r="9" spans="1:14" x14ac:dyDescent="0.25">
      <c r="A9" s="1" t="s">
        <v>213</v>
      </c>
      <c r="B9" s="107">
        <v>7</v>
      </c>
      <c r="C9" s="1" t="s">
        <v>215</v>
      </c>
      <c r="F9" s="1" t="s">
        <v>213</v>
      </c>
      <c r="G9" s="110"/>
      <c r="H9" s="110">
        <v>0.03</v>
      </c>
      <c r="I9" s="110">
        <v>0.02</v>
      </c>
      <c r="J9" s="110">
        <v>1.4999999999999999E-2</v>
      </c>
      <c r="K9" s="110">
        <v>1.2999999999999999E-2</v>
      </c>
    </row>
    <row r="10" spans="1:14" x14ac:dyDescent="0.25">
      <c r="B10" s="107"/>
      <c r="G10" s="110"/>
      <c r="H10" s="110"/>
      <c r="I10" s="110"/>
      <c r="J10" s="110"/>
      <c r="K10" s="110"/>
    </row>
    <row r="11" spans="1:14" x14ac:dyDescent="0.25">
      <c r="A11" s="578" t="s">
        <v>55</v>
      </c>
      <c r="B11" s="578"/>
      <c r="G11" s="110"/>
      <c r="H11" s="110"/>
      <c r="I11" s="110"/>
      <c r="J11" s="110"/>
      <c r="K11" s="110"/>
    </row>
    <row r="12" spans="1:14" x14ac:dyDescent="0.25">
      <c r="A12" s="1" t="s">
        <v>472</v>
      </c>
      <c r="B12" s="109">
        <v>150</v>
      </c>
      <c r="C12" s="1" t="s">
        <v>473</v>
      </c>
      <c r="E12" s="1" t="s">
        <v>480</v>
      </c>
      <c r="H12" s="109">
        <v>100</v>
      </c>
      <c r="I12" s="1" t="s">
        <v>473</v>
      </c>
      <c r="J12" s="110"/>
      <c r="K12" s="110"/>
    </row>
    <row r="13" spans="1:14" x14ac:dyDescent="0.25">
      <c r="A13" s="1" t="s">
        <v>474</v>
      </c>
      <c r="B13" s="109">
        <v>30</v>
      </c>
      <c r="C13" s="1" t="s">
        <v>475</v>
      </c>
      <c r="G13" s="110"/>
      <c r="H13" s="110"/>
      <c r="I13" s="110"/>
      <c r="J13" s="110"/>
      <c r="K13" s="110"/>
    </row>
    <row r="15" spans="1:14" s="26" customFormat="1" ht="20" customHeight="1" x14ac:dyDescent="0.25">
      <c r="A15" s="26" t="s">
        <v>222</v>
      </c>
    </row>
    <row r="16" spans="1:14" x14ac:dyDescent="0.25">
      <c r="A16" s="2" t="s">
        <v>228</v>
      </c>
      <c r="E16" s="579" t="s">
        <v>225</v>
      </c>
      <c r="F16" s="579"/>
      <c r="G16" s="579"/>
      <c r="H16" s="579"/>
      <c r="I16" s="2" t="s">
        <v>226</v>
      </c>
      <c r="J16" s="2" t="s">
        <v>238</v>
      </c>
    </row>
    <row r="17" spans="1:62" x14ac:dyDescent="0.25">
      <c r="A17" s="1" t="s">
        <v>217</v>
      </c>
      <c r="B17" s="109">
        <v>4000</v>
      </c>
      <c r="C17" s="1" t="s">
        <v>221</v>
      </c>
      <c r="E17" s="2" t="s">
        <v>228</v>
      </c>
      <c r="H17" s="112">
        <v>7</v>
      </c>
      <c r="I17" s="110">
        <v>0.2</v>
      </c>
      <c r="J17" s="110">
        <v>0.01</v>
      </c>
    </row>
    <row r="18" spans="1:62" x14ac:dyDescent="0.25">
      <c r="A18" s="1" t="s">
        <v>218</v>
      </c>
      <c r="B18" s="109">
        <v>2000</v>
      </c>
      <c r="C18" s="1" t="s">
        <v>221</v>
      </c>
      <c r="E18" s="2" t="s">
        <v>219</v>
      </c>
      <c r="H18" s="112">
        <v>10</v>
      </c>
      <c r="I18" s="110">
        <v>0.1</v>
      </c>
      <c r="J18" s="110">
        <v>0.02</v>
      </c>
    </row>
    <row r="19" spans="1:62" x14ac:dyDescent="0.25">
      <c r="A19" s="2" t="s">
        <v>219</v>
      </c>
      <c r="E19" s="2" t="s">
        <v>220</v>
      </c>
      <c r="H19" s="112">
        <v>15</v>
      </c>
      <c r="I19" s="110">
        <v>0.05</v>
      </c>
      <c r="J19" s="110">
        <v>0.05</v>
      </c>
    </row>
    <row r="20" spans="1:62" x14ac:dyDescent="0.25">
      <c r="A20" s="1" t="s">
        <v>217</v>
      </c>
      <c r="B20" s="109">
        <v>3000</v>
      </c>
      <c r="C20" s="1" t="s">
        <v>221</v>
      </c>
      <c r="E20" s="2"/>
      <c r="H20" s="112"/>
      <c r="I20" s="110"/>
      <c r="J20" s="110"/>
    </row>
    <row r="21" spans="1:62" x14ac:dyDescent="0.25">
      <c r="A21" s="1" t="s">
        <v>218</v>
      </c>
      <c r="B21" s="109">
        <v>1500</v>
      </c>
      <c r="C21" s="1" t="s">
        <v>221</v>
      </c>
    </row>
    <row r="22" spans="1:62" x14ac:dyDescent="0.25">
      <c r="A22" s="2" t="s">
        <v>220</v>
      </c>
      <c r="E22" s="2" t="s">
        <v>517</v>
      </c>
      <c r="H22" s="110">
        <v>0.03</v>
      </c>
      <c r="I22" s="1" t="s">
        <v>257</v>
      </c>
    </row>
    <row r="23" spans="1:62" x14ac:dyDescent="0.25">
      <c r="A23" s="1" t="s">
        <v>217</v>
      </c>
      <c r="B23" s="109">
        <v>1500</v>
      </c>
      <c r="C23" s="1" t="s">
        <v>221</v>
      </c>
      <c r="E23" s="2" t="s">
        <v>568</v>
      </c>
      <c r="H23" s="110">
        <v>0.05</v>
      </c>
      <c r="I23" s="1" t="s">
        <v>257</v>
      </c>
    </row>
    <row r="24" spans="1:62" x14ac:dyDescent="0.25">
      <c r="A24" s="1" t="s">
        <v>218</v>
      </c>
      <c r="B24" s="109">
        <v>800</v>
      </c>
      <c r="C24" s="1" t="s">
        <v>221</v>
      </c>
    </row>
    <row r="26" spans="1:62" ht="34" x14ac:dyDescent="0.25">
      <c r="A26" s="30" t="s">
        <v>243</v>
      </c>
      <c r="B26" s="29" t="s">
        <v>232</v>
      </c>
      <c r="C26" s="29">
        <v>43831</v>
      </c>
      <c r="D26" s="29">
        <v>43862</v>
      </c>
      <c r="E26" s="29">
        <v>43891</v>
      </c>
      <c r="F26" s="29">
        <v>43922</v>
      </c>
      <c r="G26" s="29">
        <v>43952</v>
      </c>
      <c r="H26" s="29">
        <v>43983</v>
      </c>
      <c r="I26" s="29">
        <v>44013</v>
      </c>
      <c r="J26" s="29">
        <v>44044</v>
      </c>
      <c r="K26" s="29">
        <v>44075</v>
      </c>
      <c r="L26" s="29">
        <v>44105</v>
      </c>
      <c r="M26" s="29">
        <v>44136</v>
      </c>
      <c r="N26" s="29">
        <v>44166</v>
      </c>
      <c r="O26" s="29">
        <v>44197</v>
      </c>
      <c r="P26" s="29">
        <v>44228</v>
      </c>
      <c r="Q26" s="29">
        <v>44256</v>
      </c>
      <c r="R26" s="29">
        <v>44287</v>
      </c>
      <c r="S26" s="29">
        <v>44317</v>
      </c>
      <c r="T26" s="29">
        <v>44348</v>
      </c>
      <c r="U26" s="29">
        <v>44378</v>
      </c>
      <c r="V26" s="29">
        <v>44409</v>
      </c>
      <c r="W26" s="29">
        <v>44440</v>
      </c>
      <c r="X26" s="29">
        <v>44470</v>
      </c>
      <c r="Y26" s="29">
        <v>44501</v>
      </c>
      <c r="Z26" s="29">
        <v>44531</v>
      </c>
      <c r="AA26" s="29">
        <v>44562</v>
      </c>
      <c r="AB26" s="29">
        <v>44593</v>
      </c>
      <c r="AC26" s="29">
        <v>44621</v>
      </c>
      <c r="AD26" s="29">
        <v>44652</v>
      </c>
      <c r="AE26" s="29">
        <v>44682</v>
      </c>
      <c r="AF26" s="29">
        <v>44713</v>
      </c>
      <c r="AG26" s="29">
        <v>44743</v>
      </c>
      <c r="AH26" s="29">
        <v>44774</v>
      </c>
      <c r="AI26" s="29">
        <v>44805</v>
      </c>
      <c r="AJ26" s="29">
        <v>44835</v>
      </c>
      <c r="AK26" s="29">
        <v>44866</v>
      </c>
      <c r="AL26" s="29">
        <v>44896</v>
      </c>
      <c r="AM26" s="29">
        <v>44927</v>
      </c>
      <c r="AN26" s="29">
        <v>44958</v>
      </c>
      <c r="AO26" s="29">
        <v>44986</v>
      </c>
      <c r="AP26" s="29">
        <v>45017</v>
      </c>
      <c r="AQ26" s="29">
        <v>45047</v>
      </c>
      <c r="AR26" s="29">
        <v>45078</v>
      </c>
      <c r="AS26" s="29">
        <v>45108</v>
      </c>
      <c r="AT26" s="29">
        <v>45139</v>
      </c>
      <c r="AU26" s="29">
        <v>45170</v>
      </c>
      <c r="AV26" s="29">
        <v>45200</v>
      </c>
      <c r="AW26" s="29">
        <v>45231</v>
      </c>
      <c r="AX26" s="29">
        <v>45261</v>
      </c>
      <c r="AY26" s="29">
        <v>45292</v>
      </c>
      <c r="AZ26" s="29">
        <v>45323</v>
      </c>
      <c r="BA26" s="29">
        <v>45352</v>
      </c>
      <c r="BB26" s="29">
        <v>45383</v>
      </c>
      <c r="BC26" s="29">
        <v>45413</v>
      </c>
      <c r="BD26" s="29">
        <v>45444</v>
      </c>
      <c r="BE26" s="29">
        <v>45474</v>
      </c>
      <c r="BF26" s="29">
        <v>45505</v>
      </c>
      <c r="BG26" s="29">
        <v>45536</v>
      </c>
      <c r="BH26" s="29">
        <v>45566</v>
      </c>
      <c r="BI26" s="29">
        <v>45597</v>
      </c>
      <c r="BJ26" s="29">
        <v>45627</v>
      </c>
    </row>
    <row r="27" spans="1:62" outlineLevel="1" x14ac:dyDescent="0.25">
      <c r="A27" s="18" t="s">
        <v>178</v>
      </c>
      <c r="B27" s="124">
        <f>'Payroll 2020'!G38</f>
        <v>8832</v>
      </c>
      <c r="C27" s="1">
        <v>0.5</v>
      </c>
      <c r="D27" s="1">
        <v>0.5</v>
      </c>
      <c r="E27" s="1">
        <v>0.5</v>
      </c>
      <c r="F27" s="1">
        <v>0.5</v>
      </c>
      <c r="G27" s="1">
        <v>0.5</v>
      </c>
      <c r="H27" s="1">
        <v>0.5</v>
      </c>
      <c r="I27" s="1">
        <v>0.5</v>
      </c>
      <c r="J27" s="1">
        <v>0.5</v>
      </c>
      <c r="K27" s="1">
        <v>0.5</v>
      </c>
      <c r="L27" s="1">
        <v>0.5</v>
      </c>
      <c r="M27" s="1">
        <v>0.5</v>
      </c>
      <c r="N27" s="1">
        <v>0.5</v>
      </c>
      <c r="O27" s="1">
        <v>0.5</v>
      </c>
      <c r="P27" s="1">
        <v>0.5</v>
      </c>
      <c r="Q27" s="1">
        <v>0.5</v>
      </c>
      <c r="R27" s="1">
        <v>0.5</v>
      </c>
      <c r="S27" s="1">
        <v>0.5</v>
      </c>
      <c r="T27" s="1">
        <v>0.5</v>
      </c>
      <c r="U27" s="1">
        <v>0.5</v>
      </c>
      <c r="V27" s="1">
        <v>0.5</v>
      </c>
      <c r="W27" s="1">
        <v>0.5</v>
      </c>
      <c r="X27" s="1">
        <v>0.5</v>
      </c>
      <c r="Y27" s="1">
        <v>0.5</v>
      </c>
      <c r="Z27" s="1">
        <v>0.5</v>
      </c>
      <c r="AA27" s="1">
        <v>0.5</v>
      </c>
      <c r="AB27" s="1">
        <v>0.5</v>
      </c>
      <c r="AC27" s="1">
        <v>0.5</v>
      </c>
      <c r="AD27" s="1">
        <v>0.5</v>
      </c>
      <c r="AE27" s="1">
        <v>0.5</v>
      </c>
      <c r="AF27" s="1">
        <v>0.5</v>
      </c>
      <c r="AG27" s="1">
        <v>0.5</v>
      </c>
      <c r="AH27" s="1">
        <v>0.5</v>
      </c>
      <c r="AI27" s="1">
        <v>0.5</v>
      </c>
      <c r="AJ27" s="1">
        <v>0.5</v>
      </c>
      <c r="AK27" s="1">
        <v>0.5</v>
      </c>
      <c r="AL27" s="1">
        <v>0.5</v>
      </c>
      <c r="AM27" s="1">
        <v>0.5</v>
      </c>
      <c r="AN27" s="1">
        <v>0.5</v>
      </c>
      <c r="AO27" s="1">
        <v>0.5</v>
      </c>
      <c r="AP27" s="1">
        <v>0.5</v>
      </c>
      <c r="AQ27" s="1">
        <v>0.5</v>
      </c>
      <c r="AR27" s="1">
        <v>0.5</v>
      </c>
      <c r="AS27" s="1">
        <v>0.5</v>
      </c>
      <c r="AT27" s="1">
        <v>0.5</v>
      </c>
      <c r="AU27" s="1">
        <v>0.5</v>
      </c>
      <c r="AV27" s="1">
        <v>0.5</v>
      </c>
      <c r="AW27" s="1">
        <v>0.5</v>
      </c>
      <c r="AX27" s="1">
        <v>0.5</v>
      </c>
      <c r="AY27" s="1">
        <v>0.5</v>
      </c>
      <c r="AZ27" s="1">
        <v>0.5</v>
      </c>
      <c r="BA27" s="1">
        <v>0.5</v>
      </c>
      <c r="BB27" s="1">
        <v>0.5</v>
      </c>
      <c r="BC27" s="1">
        <v>0.5</v>
      </c>
      <c r="BD27" s="1">
        <v>0.5</v>
      </c>
      <c r="BE27" s="1">
        <v>0.5</v>
      </c>
      <c r="BF27" s="1">
        <v>0.5</v>
      </c>
      <c r="BG27" s="1">
        <v>0.5</v>
      </c>
      <c r="BH27" s="1">
        <v>0.5</v>
      </c>
      <c r="BI27" s="1">
        <v>0.5</v>
      </c>
      <c r="BJ27" s="1">
        <v>0.5</v>
      </c>
    </row>
    <row r="28" spans="1:62" outlineLevel="1" x14ac:dyDescent="0.25">
      <c r="A28" s="18" t="s">
        <v>229</v>
      </c>
      <c r="B28" s="124">
        <f>'Payroll 2020'!G39</f>
        <v>8280</v>
      </c>
      <c r="F28" s="1">
        <v>0.5</v>
      </c>
      <c r="G28" s="1">
        <v>0.5</v>
      </c>
      <c r="H28" s="1">
        <v>0.5</v>
      </c>
      <c r="I28" s="1">
        <v>0.5</v>
      </c>
      <c r="J28" s="1">
        <v>0.5</v>
      </c>
      <c r="K28" s="1">
        <v>0.5</v>
      </c>
      <c r="L28" s="1">
        <v>0.5</v>
      </c>
      <c r="M28" s="1">
        <v>0.5</v>
      </c>
      <c r="N28" s="1">
        <v>0.5</v>
      </c>
      <c r="O28" s="1">
        <v>0.5</v>
      </c>
      <c r="P28" s="1">
        <v>0.5</v>
      </c>
      <c r="Q28" s="1">
        <v>0.5</v>
      </c>
      <c r="R28" s="1">
        <v>0.5</v>
      </c>
      <c r="S28" s="1">
        <v>0.5</v>
      </c>
      <c r="T28" s="1">
        <v>0.5</v>
      </c>
      <c r="U28" s="1">
        <v>0.5</v>
      </c>
      <c r="V28" s="1">
        <v>0.5</v>
      </c>
      <c r="W28" s="1">
        <v>0.5</v>
      </c>
      <c r="X28" s="1">
        <v>0.5</v>
      </c>
      <c r="Y28" s="1">
        <v>0.5</v>
      </c>
      <c r="Z28" s="1">
        <v>0.5</v>
      </c>
      <c r="AA28" s="1">
        <v>0.5</v>
      </c>
      <c r="AB28" s="1">
        <v>0.5</v>
      </c>
      <c r="AC28" s="1">
        <v>0.5</v>
      </c>
      <c r="AD28" s="1">
        <v>0.5</v>
      </c>
      <c r="AE28" s="1">
        <v>0.5</v>
      </c>
      <c r="AF28" s="1">
        <v>0.5</v>
      </c>
      <c r="AG28" s="1">
        <v>0.5</v>
      </c>
      <c r="AH28" s="1">
        <v>0.5</v>
      </c>
      <c r="AI28" s="1">
        <v>0.5</v>
      </c>
      <c r="AJ28" s="1">
        <v>0.5</v>
      </c>
      <c r="AK28" s="1">
        <v>0.5</v>
      </c>
      <c r="AL28" s="1">
        <v>0.5</v>
      </c>
      <c r="AM28" s="1">
        <v>0.5</v>
      </c>
      <c r="AN28" s="1">
        <v>0.5</v>
      </c>
      <c r="AO28" s="1">
        <v>0.5</v>
      </c>
      <c r="AP28" s="1">
        <v>0.5</v>
      </c>
      <c r="AQ28" s="1">
        <v>0.5</v>
      </c>
      <c r="AR28" s="1">
        <v>0.5</v>
      </c>
      <c r="AS28" s="1">
        <v>0.5</v>
      </c>
      <c r="AT28" s="1">
        <v>0.5</v>
      </c>
      <c r="AU28" s="1">
        <v>0.5</v>
      </c>
      <c r="AV28" s="1">
        <v>0.5</v>
      </c>
      <c r="AW28" s="1">
        <v>0.5</v>
      </c>
      <c r="AX28" s="1">
        <v>0.5</v>
      </c>
      <c r="AY28" s="1">
        <v>0.5</v>
      </c>
      <c r="AZ28" s="1">
        <v>0.5</v>
      </c>
      <c r="BA28" s="1">
        <v>0.5</v>
      </c>
      <c r="BB28" s="1">
        <v>0.5</v>
      </c>
      <c r="BC28" s="1">
        <v>0.5</v>
      </c>
      <c r="BD28" s="1">
        <v>0.5</v>
      </c>
      <c r="BE28" s="1">
        <v>0.5</v>
      </c>
      <c r="BF28" s="1">
        <v>0.5</v>
      </c>
      <c r="BG28" s="1">
        <v>0.5</v>
      </c>
      <c r="BH28" s="1">
        <v>0.5</v>
      </c>
      <c r="BI28" s="1">
        <v>0.5</v>
      </c>
      <c r="BJ28" s="1">
        <v>0.5</v>
      </c>
    </row>
    <row r="29" spans="1:62" outlineLevel="1" x14ac:dyDescent="0.25">
      <c r="A29" s="18" t="s">
        <v>227</v>
      </c>
      <c r="B29" s="124">
        <f>'Payroll 2020'!G559</f>
        <v>5520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1</v>
      </c>
      <c r="R29" s="1">
        <v>1</v>
      </c>
      <c r="S29" s="1">
        <v>1</v>
      </c>
      <c r="T29" s="1">
        <v>1</v>
      </c>
      <c r="U29" s="1">
        <v>1</v>
      </c>
      <c r="V29" s="1">
        <v>1</v>
      </c>
      <c r="W29" s="1">
        <v>1</v>
      </c>
      <c r="X29" s="1">
        <v>1</v>
      </c>
      <c r="Y29" s="1">
        <v>1</v>
      </c>
      <c r="Z29" s="1">
        <v>1</v>
      </c>
      <c r="AA29" s="1">
        <v>1</v>
      </c>
      <c r="AB29" s="1">
        <v>1</v>
      </c>
      <c r="AC29" s="1">
        <v>1</v>
      </c>
      <c r="AD29" s="1">
        <v>1</v>
      </c>
      <c r="AE29" s="1">
        <v>1</v>
      </c>
      <c r="AF29" s="1">
        <v>1</v>
      </c>
      <c r="AG29" s="1">
        <v>1</v>
      </c>
      <c r="AH29" s="1">
        <v>1</v>
      </c>
      <c r="AI29" s="1">
        <v>1</v>
      </c>
      <c r="AJ29" s="1">
        <v>1</v>
      </c>
      <c r="AK29" s="1">
        <v>1</v>
      </c>
      <c r="AL29" s="1">
        <v>1</v>
      </c>
      <c r="AM29" s="1">
        <v>1</v>
      </c>
      <c r="AN29" s="1">
        <v>1</v>
      </c>
      <c r="AO29" s="1">
        <v>1</v>
      </c>
      <c r="AP29" s="1">
        <v>1</v>
      </c>
      <c r="AQ29" s="1">
        <v>1</v>
      </c>
      <c r="AR29" s="1">
        <v>1</v>
      </c>
      <c r="AS29" s="1">
        <v>1</v>
      </c>
      <c r="AT29" s="1">
        <v>1</v>
      </c>
      <c r="AU29" s="1">
        <v>1</v>
      </c>
      <c r="AV29" s="1">
        <v>1</v>
      </c>
      <c r="AW29" s="1">
        <v>1</v>
      </c>
      <c r="AX29" s="1">
        <v>1</v>
      </c>
      <c r="AY29" s="1">
        <v>1</v>
      </c>
      <c r="AZ29" s="1">
        <v>1</v>
      </c>
      <c r="BA29" s="1">
        <v>1</v>
      </c>
      <c r="BB29" s="1">
        <v>1</v>
      </c>
      <c r="BC29" s="1">
        <v>1</v>
      </c>
      <c r="BD29" s="1">
        <v>1</v>
      </c>
      <c r="BE29" s="1">
        <v>1</v>
      </c>
      <c r="BF29" s="1">
        <v>1</v>
      </c>
      <c r="BG29" s="1">
        <v>1</v>
      </c>
      <c r="BH29" s="1">
        <v>1</v>
      </c>
      <c r="BI29" s="1">
        <v>1</v>
      </c>
      <c r="BJ29" s="1">
        <v>1</v>
      </c>
    </row>
    <row r="30" spans="1:62" outlineLevel="1" x14ac:dyDescent="0.25">
      <c r="A30" s="18" t="s">
        <v>230</v>
      </c>
      <c r="B30" s="124">
        <f>'Payroll 2020'!G560</f>
        <v>4232</v>
      </c>
      <c r="L30" s="1">
        <v>1</v>
      </c>
      <c r="M30" s="1">
        <v>1</v>
      </c>
      <c r="N30" s="1">
        <v>1</v>
      </c>
      <c r="O30" s="1">
        <v>1</v>
      </c>
      <c r="P30" s="1">
        <v>1</v>
      </c>
      <c r="Q30" s="1">
        <v>1</v>
      </c>
      <c r="R30" s="1">
        <v>1</v>
      </c>
      <c r="S30" s="1">
        <v>1</v>
      </c>
      <c r="T30" s="1">
        <v>1</v>
      </c>
      <c r="U30" s="1">
        <v>1</v>
      </c>
      <c r="V30" s="1">
        <v>1</v>
      </c>
      <c r="W30" s="1">
        <v>1</v>
      </c>
      <c r="X30" s="1">
        <v>1</v>
      </c>
      <c r="Y30" s="1">
        <v>1</v>
      </c>
      <c r="Z30" s="1">
        <v>1</v>
      </c>
      <c r="AA30" s="1">
        <v>1</v>
      </c>
      <c r="AB30" s="1">
        <v>1</v>
      </c>
      <c r="AC30" s="1">
        <v>1</v>
      </c>
      <c r="AD30" s="1">
        <v>1</v>
      </c>
      <c r="AE30" s="1">
        <v>1</v>
      </c>
      <c r="AF30" s="1">
        <v>1</v>
      </c>
      <c r="AG30" s="1">
        <v>1</v>
      </c>
      <c r="AH30" s="1">
        <v>1</v>
      </c>
      <c r="AI30" s="1">
        <v>1</v>
      </c>
      <c r="AJ30" s="1">
        <v>1</v>
      </c>
      <c r="AK30" s="1">
        <v>1</v>
      </c>
      <c r="AL30" s="1">
        <v>1</v>
      </c>
      <c r="AM30" s="1">
        <v>1</v>
      </c>
      <c r="AN30" s="1">
        <v>1</v>
      </c>
      <c r="AO30" s="1">
        <v>1</v>
      </c>
      <c r="AP30" s="1">
        <v>1</v>
      </c>
      <c r="AQ30" s="1">
        <v>1</v>
      </c>
      <c r="AR30" s="1">
        <v>1</v>
      </c>
      <c r="AS30" s="1">
        <v>1</v>
      </c>
      <c r="AT30" s="1">
        <v>1</v>
      </c>
      <c r="AU30" s="1">
        <v>1</v>
      </c>
      <c r="AV30" s="1">
        <v>1</v>
      </c>
      <c r="AW30" s="1">
        <v>1</v>
      </c>
      <c r="AX30" s="1">
        <v>1</v>
      </c>
      <c r="AY30" s="1">
        <v>1</v>
      </c>
      <c r="AZ30" s="1">
        <v>1</v>
      </c>
      <c r="BA30" s="1">
        <v>1</v>
      </c>
      <c r="BB30" s="1">
        <v>1</v>
      </c>
      <c r="BC30" s="1">
        <v>1</v>
      </c>
      <c r="BD30" s="1">
        <v>1</v>
      </c>
      <c r="BE30" s="1">
        <v>1</v>
      </c>
      <c r="BF30" s="1">
        <v>1</v>
      </c>
      <c r="BG30" s="1">
        <v>1</v>
      </c>
      <c r="BH30" s="1">
        <v>1</v>
      </c>
      <c r="BI30" s="1">
        <v>1</v>
      </c>
      <c r="BJ30" s="1">
        <v>1</v>
      </c>
    </row>
    <row r="31" spans="1:62" outlineLevel="1" x14ac:dyDescent="0.25">
      <c r="A31" s="18" t="s">
        <v>230</v>
      </c>
      <c r="B31" s="124">
        <f>'Payroll 2020'!G563</f>
        <v>4232</v>
      </c>
      <c r="M31" s="1">
        <v>1</v>
      </c>
      <c r="N31" s="1">
        <v>1</v>
      </c>
      <c r="O31" s="1">
        <v>1</v>
      </c>
      <c r="P31" s="1">
        <v>1</v>
      </c>
      <c r="Q31" s="1">
        <v>1</v>
      </c>
      <c r="R31" s="1">
        <v>1</v>
      </c>
      <c r="S31" s="1">
        <v>1</v>
      </c>
      <c r="T31" s="1">
        <v>1</v>
      </c>
      <c r="U31" s="1">
        <v>1</v>
      </c>
      <c r="V31" s="1">
        <v>1</v>
      </c>
      <c r="W31" s="1">
        <v>1</v>
      </c>
      <c r="X31" s="1">
        <v>1</v>
      </c>
      <c r="Y31" s="1">
        <v>1</v>
      </c>
      <c r="Z31" s="1">
        <v>1</v>
      </c>
      <c r="AA31" s="1">
        <v>1</v>
      </c>
      <c r="AB31" s="1">
        <v>1</v>
      </c>
      <c r="AC31" s="1">
        <v>1</v>
      </c>
      <c r="AD31" s="1">
        <v>1</v>
      </c>
      <c r="AE31" s="1">
        <v>1</v>
      </c>
      <c r="AF31" s="1">
        <v>1</v>
      </c>
      <c r="AG31" s="1">
        <v>1</v>
      </c>
      <c r="AH31" s="1">
        <v>1</v>
      </c>
      <c r="AI31" s="1">
        <v>1</v>
      </c>
      <c r="AJ31" s="1">
        <v>1</v>
      </c>
      <c r="AK31" s="1">
        <v>1</v>
      </c>
      <c r="AL31" s="1">
        <v>1</v>
      </c>
      <c r="AM31" s="1">
        <v>1</v>
      </c>
      <c r="AN31" s="1">
        <v>1</v>
      </c>
      <c r="AO31" s="1">
        <v>1</v>
      </c>
      <c r="AP31" s="1">
        <v>1</v>
      </c>
      <c r="AQ31" s="1">
        <v>1</v>
      </c>
      <c r="AR31" s="1">
        <v>1</v>
      </c>
      <c r="AS31" s="1">
        <v>1</v>
      </c>
      <c r="AT31" s="1">
        <v>1</v>
      </c>
      <c r="AU31" s="1">
        <v>1</v>
      </c>
      <c r="AV31" s="1">
        <v>1</v>
      </c>
      <c r="AW31" s="1">
        <v>1</v>
      </c>
      <c r="AX31" s="1">
        <v>1</v>
      </c>
      <c r="AY31" s="1">
        <v>1</v>
      </c>
      <c r="AZ31" s="1">
        <v>1</v>
      </c>
      <c r="BA31" s="1">
        <v>1</v>
      </c>
      <c r="BB31" s="1">
        <v>1</v>
      </c>
      <c r="BC31" s="1">
        <v>1</v>
      </c>
      <c r="BD31" s="1">
        <v>1</v>
      </c>
      <c r="BE31" s="1">
        <v>1</v>
      </c>
      <c r="BF31" s="1">
        <v>1</v>
      </c>
      <c r="BG31" s="1">
        <v>1</v>
      </c>
      <c r="BH31" s="1">
        <v>1</v>
      </c>
      <c r="BI31" s="1">
        <v>1</v>
      </c>
      <c r="BJ31" s="1">
        <v>1</v>
      </c>
    </row>
    <row r="32" spans="1:62" outlineLevel="1" x14ac:dyDescent="0.25">
      <c r="A32" s="18" t="s">
        <v>230</v>
      </c>
      <c r="B32" s="124">
        <f>'Payroll 2020'!G567</f>
        <v>4232</v>
      </c>
      <c r="M32" s="1">
        <v>1</v>
      </c>
      <c r="N32" s="1">
        <v>1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1</v>
      </c>
      <c r="U32" s="1">
        <v>1</v>
      </c>
      <c r="V32" s="1">
        <v>1</v>
      </c>
      <c r="W32" s="1">
        <v>1</v>
      </c>
      <c r="X32" s="1">
        <v>1</v>
      </c>
      <c r="Y32" s="1">
        <v>1</v>
      </c>
      <c r="Z32" s="1">
        <v>1</v>
      </c>
      <c r="AA32" s="1">
        <v>1</v>
      </c>
      <c r="AB32" s="1">
        <v>1</v>
      </c>
      <c r="AC32" s="1">
        <v>1</v>
      </c>
      <c r="AD32" s="1">
        <v>1</v>
      </c>
      <c r="AE32" s="1">
        <v>1</v>
      </c>
      <c r="AF32" s="1">
        <v>1</v>
      </c>
      <c r="AG32" s="1">
        <v>1</v>
      </c>
      <c r="AH32" s="1">
        <v>1</v>
      </c>
      <c r="AI32" s="1">
        <v>1</v>
      </c>
      <c r="AJ32" s="1">
        <v>1</v>
      </c>
      <c r="AK32" s="1">
        <v>1</v>
      </c>
      <c r="AL32" s="1">
        <v>1</v>
      </c>
      <c r="AM32" s="1">
        <v>1</v>
      </c>
      <c r="AN32" s="1">
        <v>1</v>
      </c>
      <c r="AO32" s="1">
        <v>1</v>
      </c>
      <c r="AP32" s="1">
        <v>1</v>
      </c>
      <c r="AQ32" s="1">
        <v>1</v>
      </c>
      <c r="AR32" s="1">
        <v>1</v>
      </c>
      <c r="AS32" s="1">
        <v>1</v>
      </c>
      <c r="AT32" s="1">
        <v>1</v>
      </c>
      <c r="AU32" s="1">
        <v>1</v>
      </c>
      <c r="AV32" s="1">
        <v>1</v>
      </c>
      <c r="AW32" s="1">
        <v>1</v>
      </c>
      <c r="AX32" s="1">
        <v>1</v>
      </c>
      <c r="AY32" s="1">
        <v>1</v>
      </c>
      <c r="AZ32" s="1">
        <v>1</v>
      </c>
      <c r="BA32" s="1">
        <v>1</v>
      </c>
      <c r="BB32" s="1">
        <v>1</v>
      </c>
      <c r="BC32" s="1">
        <v>1</v>
      </c>
      <c r="BD32" s="1">
        <v>1</v>
      </c>
      <c r="BE32" s="1">
        <v>1</v>
      </c>
      <c r="BF32" s="1">
        <v>1</v>
      </c>
      <c r="BG32" s="1">
        <v>1</v>
      </c>
      <c r="BH32" s="1">
        <v>1</v>
      </c>
      <c r="BI32" s="1">
        <v>1</v>
      </c>
      <c r="BJ32" s="1">
        <v>1</v>
      </c>
    </row>
    <row r="33" spans="1:62" outlineLevel="1" x14ac:dyDescent="0.25">
      <c r="A33" s="18" t="s">
        <v>231</v>
      </c>
      <c r="B33" s="124">
        <f>'Payroll 2020'!G561</f>
        <v>3128</v>
      </c>
      <c r="K33" s="1">
        <v>1</v>
      </c>
      <c r="L33" s="1">
        <v>1</v>
      </c>
      <c r="M33" s="1">
        <v>1</v>
      </c>
      <c r="N33" s="1">
        <v>1</v>
      </c>
      <c r="O33" s="1">
        <v>1</v>
      </c>
      <c r="P33" s="1">
        <v>1</v>
      </c>
      <c r="Q33" s="1">
        <v>1</v>
      </c>
      <c r="R33" s="1">
        <v>1</v>
      </c>
      <c r="S33" s="1">
        <v>1</v>
      </c>
      <c r="T33" s="1">
        <v>1</v>
      </c>
      <c r="U33" s="1">
        <v>1</v>
      </c>
      <c r="V33" s="1">
        <v>1</v>
      </c>
      <c r="W33" s="1">
        <v>1</v>
      </c>
      <c r="X33" s="1">
        <v>1</v>
      </c>
      <c r="Y33" s="1">
        <v>1</v>
      </c>
      <c r="Z33" s="1">
        <v>1</v>
      </c>
      <c r="AA33" s="1">
        <v>1</v>
      </c>
      <c r="AB33" s="1">
        <v>1</v>
      </c>
      <c r="AC33" s="1">
        <v>1</v>
      </c>
      <c r="AD33" s="1">
        <v>1</v>
      </c>
      <c r="AE33" s="1">
        <v>1</v>
      </c>
      <c r="AF33" s="1">
        <v>1</v>
      </c>
      <c r="AG33" s="1">
        <v>1</v>
      </c>
      <c r="AH33" s="1">
        <v>1</v>
      </c>
      <c r="AI33" s="1">
        <v>1</v>
      </c>
      <c r="AJ33" s="1">
        <v>1</v>
      </c>
      <c r="AK33" s="1">
        <v>1</v>
      </c>
      <c r="AL33" s="1">
        <v>1</v>
      </c>
      <c r="AM33" s="1">
        <v>1</v>
      </c>
      <c r="AN33" s="1">
        <v>1</v>
      </c>
      <c r="AO33" s="1">
        <v>1</v>
      </c>
      <c r="AP33" s="1">
        <v>1</v>
      </c>
      <c r="AQ33" s="1">
        <v>1</v>
      </c>
      <c r="AR33" s="1">
        <v>1</v>
      </c>
      <c r="AS33" s="1">
        <v>1</v>
      </c>
      <c r="AT33" s="1">
        <v>1</v>
      </c>
      <c r="AU33" s="1">
        <v>1</v>
      </c>
      <c r="AV33" s="1">
        <v>1</v>
      </c>
      <c r="AW33" s="1">
        <v>1</v>
      </c>
      <c r="AX33" s="1">
        <v>1</v>
      </c>
      <c r="AY33" s="1">
        <v>1</v>
      </c>
      <c r="AZ33" s="1">
        <v>1</v>
      </c>
      <c r="BA33" s="1">
        <v>1</v>
      </c>
      <c r="BB33" s="1">
        <v>1</v>
      </c>
      <c r="BC33" s="1">
        <v>1</v>
      </c>
      <c r="BD33" s="1">
        <v>1</v>
      </c>
      <c r="BE33" s="1">
        <v>1</v>
      </c>
      <c r="BF33" s="1">
        <v>1</v>
      </c>
      <c r="BG33" s="1">
        <v>1</v>
      </c>
      <c r="BH33" s="1">
        <v>1</v>
      </c>
      <c r="BI33" s="1">
        <v>1</v>
      </c>
      <c r="BJ33" s="1">
        <v>1</v>
      </c>
    </row>
    <row r="34" spans="1:62" outlineLevel="1" x14ac:dyDescent="0.25">
      <c r="A34" s="18" t="s">
        <v>231</v>
      </c>
      <c r="B34" s="124">
        <f>'Payroll 2020'!G562</f>
        <v>3128</v>
      </c>
      <c r="L34" s="1">
        <v>1</v>
      </c>
      <c r="M34" s="1">
        <v>1</v>
      </c>
      <c r="N34" s="1">
        <v>1</v>
      </c>
      <c r="O34" s="1">
        <v>1</v>
      </c>
      <c r="P34" s="1">
        <v>1</v>
      </c>
      <c r="Q34" s="1">
        <v>1</v>
      </c>
      <c r="R34" s="1">
        <v>1</v>
      </c>
      <c r="S34" s="1">
        <v>1</v>
      </c>
      <c r="T34" s="1">
        <v>1</v>
      </c>
      <c r="U34" s="1">
        <v>1</v>
      </c>
      <c r="V34" s="1">
        <v>1</v>
      </c>
      <c r="W34" s="1">
        <v>1</v>
      </c>
      <c r="X34" s="1">
        <v>1</v>
      </c>
      <c r="Y34" s="1">
        <v>1</v>
      </c>
      <c r="Z34" s="1">
        <v>1</v>
      </c>
      <c r="AA34" s="1">
        <v>1</v>
      </c>
      <c r="AB34" s="1">
        <v>1</v>
      </c>
      <c r="AC34" s="1">
        <v>1</v>
      </c>
      <c r="AD34" s="1">
        <v>1</v>
      </c>
      <c r="AE34" s="1">
        <v>1</v>
      </c>
      <c r="AF34" s="1">
        <v>1</v>
      </c>
      <c r="AG34" s="1">
        <v>1</v>
      </c>
      <c r="AH34" s="1">
        <v>1</v>
      </c>
      <c r="AI34" s="1">
        <v>1</v>
      </c>
      <c r="AJ34" s="1">
        <v>1</v>
      </c>
      <c r="AK34" s="1">
        <v>1</v>
      </c>
      <c r="AL34" s="1">
        <v>1</v>
      </c>
      <c r="AM34" s="1">
        <v>1</v>
      </c>
      <c r="AN34" s="1">
        <v>1</v>
      </c>
      <c r="AO34" s="1">
        <v>1</v>
      </c>
      <c r="AP34" s="1">
        <v>1</v>
      </c>
      <c r="AQ34" s="1">
        <v>1</v>
      </c>
      <c r="AR34" s="1">
        <v>1</v>
      </c>
      <c r="AS34" s="1">
        <v>1</v>
      </c>
      <c r="AT34" s="1">
        <v>1</v>
      </c>
      <c r="AU34" s="1">
        <v>1</v>
      </c>
      <c r="AV34" s="1">
        <v>1</v>
      </c>
      <c r="AW34" s="1">
        <v>1</v>
      </c>
      <c r="AX34" s="1">
        <v>1</v>
      </c>
      <c r="AY34" s="1">
        <v>1</v>
      </c>
      <c r="AZ34" s="1">
        <v>1</v>
      </c>
      <c r="BA34" s="1">
        <v>1</v>
      </c>
      <c r="BB34" s="1">
        <v>1</v>
      </c>
      <c r="BC34" s="1">
        <v>1</v>
      </c>
      <c r="BD34" s="1">
        <v>1</v>
      </c>
      <c r="BE34" s="1">
        <v>1</v>
      </c>
      <c r="BF34" s="1">
        <v>1</v>
      </c>
      <c r="BG34" s="1">
        <v>1</v>
      </c>
      <c r="BH34" s="1">
        <v>1</v>
      </c>
      <c r="BI34" s="1">
        <v>1</v>
      </c>
      <c r="BJ34" s="1">
        <v>1</v>
      </c>
    </row>
    <row r="35" spans="1:62" outlineLevel="1" x14ac:dyDescent="0.25">
      <c r="A35" s="18" t="s">
        <v>231</v>
      </c>
      <c r="B35" s="124">
        <f>'Payroll 2020'!G564</f>
        <v>3128</v>
      </c>
      <c r="L35" s="1">
        <v>1</v>
      </c>
      <c r="M35" s="1">
        <v>1</v>
      </c>
      <c r="N35" s="1">
        <v>1</v>
      </c>
      <c r="O35" s="1">
        <v>1</v>
      </c>
      <c r="P35" s="1">
        <v>1</v>
      </c>
      <c r="Q35" s="1">
        <v>1</v>
      </c>
      <c r="R35" s="1">
        <v>1</v>
      </c>
      <c r="S35" s="1">
        <v>1</v>
      </c>
      <c r="T35" s="1">
        <v>1</v>
      </c>
      <c r="U35" s="1">
        <v>1</v>
      </c>
      <c r="V35" s="1">
        <v>1</v>
      </c>
      <c r="W35" s="1">
        <v>1</v>
      </c>
      <c r="X35" s="1">
        <v>1</v>
      </c>
      <c r="Y35" s="1">
        <v>1</v>
      </c>
      <c r="Z35" s="1">
        <v>1</v>
      </c>
      <c r="AA35" s="1">
        <v>1</v>
      </c>
      <c r="AB35" s="1">
        <v>1</v>
      </c>
      <c r="AC35" s="1">
        <v>1</v>
      </c>
      <c r="AD35" s="1">
        <v>1</v>
      </c>
      <c r="AE35" s="1">
        <v>1</v>
      </c>
      <c r="AF35" s="1">
        <v>1</v>
      </c>
      <c r="AG35" s="1">
        <v>1</v>
      </c>
      <c r="AH35" s="1">
        <v>1</v>
      </c>
      <c r="AI35" s="1">
        <v>1</v>
      </c>
      <c r="AJ35" s="1">
        <v>1</v>
      </c>
      <c r="AK35" s="1">
        <v>1</v>
      </c>
      <c r="AL35" s="1">
        <v>1</v>
      </c>
      <c r="AM35" s="1">
        <v>1</v>
      </c>
      <c r="AN35" s="1">
        <v>1</v>
      </c>
      <c r="AO35" s="1">
        <v>1</v>
      </c>
      <c r="AP35" s="1">
        <v>1</v>
      </c>
      <c r="AQ35" s="1">
        <v>1</v>
      </c>
      <c r="AR35" s="1">
        <v>1</v>
      </c>
      <c r="AS35" s="1">
        <v>1</v>
      </c>
      <c r="AT35" s="1">
        <v>1</v>
      </c>
      <c r="AU35" s="1">
        <v>1</v>
      </c>
      <c r="AV35" s="1">
        <v>1</v>
      </c>
      <c r="AW35" s="1">
        <v>1</v>
      </c>
      <c r="AX35" s="1">
        <v>1</v>
      </c>
      <c r="AY35" s="1">
        <v>1</v>
      </c>
      <c r="AZ35" s="1">
        <v>1</v>
      </c>
      <c r="BA35" s="1">
        <v>1</v>
      </c>
      <c r="BB35" s="1">
        <v>1</v>
      </c>
      <c r="BC35" s="1">
        <v>1</v>
      </c>
      <c r="BD35" s="1">
        <v>1</v>
      </c>
      <c r="BE35" s="1">
        <v>1</v>
      </c>
      <c r="BF35" s="1">
        <v>1</v>
      </c>
      <c r="BG35" s="1">
        <v>1</v>
      </c>
      <c r="BH35" s="1">
        <v>1</v>
      </c>
      <c r="BI35" s="1">
        <v>1</v>
      </c>
      <c r="BJ35" s="1">
        <v>1</v>
      </c>
    </row>
    <row r="36" spans="1:62" outlineLevel="1" x14ac:dyDescent="0.25">
      <c r="A36" s="18" t="s">
        <v>231</v>
      </c>
      <c r="B36" s="124">
        <f>'Payroll 2020'!G565</f>
        <v>3128</v>
      </c>
      <c r="M36" s="1">
        <v>1</v>
      </c>
      <c r="N36" s="1">
        <v>1</v>
      </c>
      <c r="O36" s="1">
        <v>1</v>
      </c>
      <c r="P36" s="1">
        <v>1</v>
      </c>
      <c r="Q36" s="1">
        <v>1</v>
      </c>
      <c r="R36" s="1">
        <v>1</v>
      </c>
      <c r="S36" s="1">
        <v>1</v>
      </c>
      <c r="T36" s="1">
        <v>1</v>
      </c>
      <c r="U36" s="1">
        <v>1</v>
      </c>
      <c r="V36" s="1">
        <v>1</v>
      </c>
      <c r="W36" s="1">
        <v>1</v>
      </c>
      <c r="X36" s="1">
        <v>1</v>
      </c>
      <c r="Y36" s="1">
        <v>1</v>
      </c>
      <c r="Z36" s="1">
        <v>1</v>
      </c>
      <c r="AA36" s="1">
        <v>1</v>
      </c>
      <c r="AB36" s="1">
        <v>1</v>
      </c>
      <c r="AC36" s="1">
        <v>1</v>
      </c>
      <c r="AD36" s="1">
        <v>1</v>
      </c>
      <c r="AE36" s="1">
        <v>1</v>
      </c>
      <c r="AF36" s="1">
        <v>1</v>
      </c>
      <c r="AG36" s="1">
        <v>1</v>
      </c>
      <c r="AH36" s="1">
        <v>1</v>
      </c>
      <c r="AI36" s="1">
        <v>1</v>
      </c>
      <c r="AJ36" s="1">
        <v>1</v>
      </c>
      <c r="AK36" s="1">
        <v>1</v>
      </c>
      <c r="AL36" s="1">
        <v>1</v>
      </c>
      <c r="AM36" s="1">
        <v>1</v>
      </c>
      <c r="AN36" s="1">
        <v>1</v>
      </c>
      <c r="AO36" s="1">
        <v>1</v>
      </c>
      <c r="AP36" s="1">
        <v>1</v>
      </c>
      <c r="AQ36" s="1">
        <v>1</v>
      </c>
      <c r="AR36" s="1">
        <v>1</v>
      </c>
      <c r="AS36" s="1">
        <v>1</v>
      </c>
      <c r="AT36" s="1">
        <v>1</v>
      </c>
      <c r="AU36" s="1">
        <v>1</v>
      </c>
      <c r="AV36" s="1">
        <v>1</v>
      </c>
      <c r="AW36" s="1">
        <v>1</v>
      </c>
      <c r="AX36" s="1">
        <v>1</v>
      </c>
      <c r="AY36" s="1">
        <v>1</v>
      </c>
      <c r="AZ36" s="1">
        <v>1</v>
      </c>
      <c r="BA36" s="1">
        <v>1</v>
      </c>
      <c r="BB36" s="1">
        <v>1</v>
      </c>
      <c r="BC36" s="1">
        <v>1</v>
      </c>
      <c r="BD36" s="1">
        <v>1</v>
      </c>
      <c r="BE36" s="1">
        <v>1</v>
      </c>
      <c r="BF36" s="1">
        <v>1</v>
      </c>
      <c r="BG36" s="1">
        <v>1</v>
      </c>
      <c r="BH36" s="1">
        <v>1</v>
      </c>
      <c r="BI36" s="1">
        <v>1</v>
      </c>
      <c r="BJ36" s="1">
        <v>1</v>
      </c>
    </row>
    <row r="37" spans="1:62" outlineLevel="1" x14ac:dyDescent="0.25">
      <c r="A37" s="18" t="s">
        <v>231</v>
      </c>
      <c r="B37" s="124">
        <f>'Payroll 2020'!G566</f>
        <v>3128</v>
      </c>
      <c r="N37" s="1">
        <v>1</v>
      </c>
      <c r="O37" s="1">
        <v>1</v>
      </c>
      <c r="P37" s="1">
        <v>1</v>
      </c>
      <c r="Q37" s="1">
        <v>1</v>
      </c>
      <c r="R37" s="1">
        <v>1</v>
      </c>
      <c r="S37" s="1">
        <v>1</v>
      </c>
      <c r="T37" s="1">
        <v>1</v>
      </c>
      <c r="U37" s="1">
        <v>1</v>
      </c>
      <c r="V37" s="1">
        <v>1</v>
      </c>
      <c r="W37" s="1">
        <v>1</v>
      </c>
      <c r="X37" s="1">
        <v>1</v>
      </c>
      <c r="Y37" s="1">
        <v>1</v>
      </c>
      <c r="Z37" s="1">
        <v>1</v>
      </c>
      <c r="AA37" s="1">
        <v>1</v>
      </c>
      <c r="AB37" s="1">
        <v>1</v>
      </c>
      <c r="AC37" s="1">
        <v>1</v>
      </c>
      <c r="AD37" s="1">
        <v>1</v>
      </c>
      <c r="AE37" s="1">
        <v>1</v>
      </c>
      <c r="AF37" s="1">
        <v>1</v>
      </c>
      <c r="AG37" s="1">
        <v>1</v>
      </c>
      <c r="AH37" s="1">
        <v>1</v>
      </c>
      <c r="AI37" s="1">
        <v>1</v>
      </c>
      <c r="AJ37" s="1">
        <v>1</v>
      </c>
      <c r="AK37" s="1">
        <v>1</v>
      </c>
      <c r="AL37" s="1">
        <v>1</v>
      </c>
      <c r="AM37" s="1">
        <v>1</v>
      </c>
      <c r="AN37" s="1">
        <v>1</v>
      </c>
      <c r="AO37" s="1">
        <v>1</v>
      </c>
      <c r="AP37" s="1">
        <v>1</v>
      </c>
      <c r="AQ37" s="1">
        <v>1</v>
      </c>
      <c r="AR37" s="1">
        <v>1</v>
      </c>
      <c r="AS37" s="1">
        <v>1</v>
      </c>
      <c r="AT37" s="1">
        <v>1</v>
      </c>
      <c r="AU37" s="1">
        <v>1</v>
      </c>
      <c r="AV37" s="1">
        <v>1</v>
      </c>
      <c r="AW37" s="1">
        <v>1</v>
      </c>
      <c r="AX37" s="1">
        <v>1</v>
      </c>
      <c r="AY37" s="1">
        <v>1</v>
      </c>
      <c r="AZ37" s="1">
        <v>1</v>
      </c>
      <c r="BA37" s="1">
        <v>1</v>
      </c>
      <c r="BB37" s="1">
        <v>1</v>
      </c>
      <c r="BC37" s="1">
        <v>1</v>
      </c>
      <c r="BD37" s="1">
        <v>1</v>
      </c>
      <c r="BE37" s="1">
        <v>1</v>
      </c>
      <c r="BF37" s="1">
        <v>1</v>
      </c>
      <c r="BG37" s="1">
        <v>1</v>
      </c>
      <c r="BH37" s="1">
        <v>1</v>
      </c>
      <c r="BI37" s="1">
        <v>1</v>
      </c>
      <c r="BJ37" s="1">
        <v>1</v>
      </c>
    </row>
    <row r="38" spans="1:62" ht="17" outlineLevel="1" thickBot="1" x14ac:dyDescent="0.3">
      <c r="A38" s="18" t="s">
        <v>231</v>
      </c>
      <c r="B38" s="124">
        <f>'Payroll 2020'!G568</f>
        <v>3128</v>
      </c>
      <c r="N38" s="1">
        <v>1</v>
      </c>
      <c r="O38" s="1">
        <v>1</v>
      </c>
      <c r="P38" s="1">
        <v>1</v>
      </c>
      <c r="Q38" s="1">
        <v>1</v>
      </c>
      <c r="R38" s="1">
        <v>1</v>
      </c>
      <c r="S38" s="1">
        <v>1</v>
      </c>
      <c r="T38" s="1">
        <v>1</v>
      </c>
      <c r="U38" s="1">
        <v>1</v>
      </c>
      <c r="V38" s="1">
        <v>1</v>
      </c>
      <c r="W38" s="1">
        <v>1</v>
      </c>
      <c r="X38" s="1">
        <v>1</v>
      </c>
      <c r="Y38" s="1">
        <v>1</v>
      </c>
      <c r="Z38" s="1">
        <v>1</v>
      </c>
      <c r="AA38" s="1">
        <v>1</v>
      </c>
      <c r="AB38" s="1">
        <v>1</v>
      </c>
      <c r="AC38" s="1">
        <v>1</v>
      </c>
      <c r="AD38" s="1">
        <v>1</v>
      </c>
      <c r="AE38" s="1">
        <v>1</v>
      </c>
      <c r="AF38" s="1">
        <v>1</v>
      </c>
      <c r="AG38" s="1">
        <v>1</v>
      </c>
      <c r="AH38" s="1">
        <v>1</v>
      </c>
      <c r="AI38" s="1">
        <v>1</v>
      </c>
      <c r="AJ38" s="1">
        <v>1</v>
      </c>
      <c r="AK38" s="1">
        <v>1</v>
      </c>
      <c r="AL38" s="1">
        <v>1</v>
      </c>
      <c r="AM38" s="1">
        <v>1</v>
      </c>
      <c r="AN38" s="1">
        <v>1</v>
      </c>
      <c r="AO38" s="1">
        <v>1</v>
      </c>
      <c r="AP38" s="1">
        <v>1</v>
      </c>
      <c r="AQ38" s="1">
        <v>1</v>
      </c>
      <c r="AR38" s="1">
        <v>1</v>
      </c>
      <c r="AS38" s="1">
        <v>1</v>
      </c>
      <c r="AT38" s="1">
        <v>1</v>
      </c>
      <c r="AU38" s="1">
        <v>1</v>
      </c>
      <c r="AV38" s="1">
        <v>1</v>
      </c>
      <c r="AW38" s="1">
        <v>1</v>
      </c>
      <c r="AX38" s="1">
        <v>1</v>
      </c>
      <c r="AY38" s="1">
        <v>1</v>
      </c>
      <c r="AZ38" s="1">
        <v>1</v>
      </c>
      <c r="BA38" s="1">
        <v>1</v>
      </c>
      <c r="BB38" s="1">
        <v>1</v>
      </c>
      <c r="BC38" s="1">
        <v>1</v>
      </c>
      <c r="BD38" s="1">
        <v>1</v>
      </c>
      <c r="BE38" s="1">
        <v>1</v>
      </c>
      <c r="BF38" s="1">
        <v>1</v>
      </c>
      <c r="BG38" s="1">
        <v>1</v>
      </c>
      <c r="BH38" s="1">
        <v>1</v>
      </c>
      <c r="BI38" s="1">
        <v>1</v>
      </c>
      <c r="BJ38" s="1">
        <v>1</v>
      </c>
    </row>
    <row r="39" spans="1:62" x14ac:dyDescent="0.25">
      <c r="A39" s="113" t="s">
        <v>235</v>
      </c>
      <c r="B39" s="113"/>
      <c r="C39" s="113">
        <f>SUM(C27:C38)</f>
        <v>0.5</v>
      </c>
      <c r="D39" s="113">
        <f t="shared" ref="D39" si="4">SUM(D27:D38)</f>
        <v>0.5</v>
      </c>
      <c r="E39" s="113">
        <f t="shared" ref="E39" si="5">SUM(E27:E38)</f>
        <v>0.5</v>
      </c>
      <c r="F39" s="113">
        <f t="shared" ref="F39" si="6">SUM(F27:F38)</f>
        <v>1</v>
      </c>
      <c r="G39" s="113">
        <f t="shared" ref="G39" si="7">SUM(G27:G38)</f>
        <v>1</v>
      </c>
      <c r="H39" s="113">
        <f t="shared" ref="H39" si="8">SUM(H27:H38)</f>
        <v>1</v>
      </c>
      <c r="I39" s="113">
        <f t="shared" ref="I39" si="9">SUM(I27:I38)</f>
        <v>1</v>
      </c>
      <c r="J39" s="113">
        <f t="shared" ref="J39" si="10">SUM(J27:J38)</f>
        <v>2</v>
      </c>
      <c r="K39" s="113">
        <f t="shared" ref="K39" si="11">SUM(K27:K38)</f>
        <v>3</v>
      </c>
      <c r="L39" s="113">
        <f t="shared" ref="L39" si="12">SUM(L27:L38)</f>
        <v>6</v>
      </c>
      <c r="M39" s="113">
        <f t="shared" ref="M39" si="13">SUM(M27:M38)</f>
        <v>9</v>
      </c>
      <c r="N39" s="113">
        <f t="shared" ref="N39:BJ39" si="14">SUM(N27:N38)</f>
        <v>11</v>
      </c>
      <c r="O39" s="113">
        <f t="shared" si="14"/>
        <v>11</v>
      </c>
      <c r="P39" s="113">
        <f t="shared" si="14"/>
        <v>11</v>
      </c>
      <c r="Q39" s="113">
        <f t="shared" si="14"/>
        <v>11</v>
      </c>
      <c r="R39" s="113">
        <f t="shared" si="14"/>
        <v>11</v>
      </c>
      <c r="S39" s="113">
        <f t="shared" si="14"/>
        <v>11</v>
      </c>
      <c r="T39" s="113">
        <f t="shared" si="14"/>
        <v>11</v>
      </c>
      <c r="U39" s="113">
        <f t="shared" si="14"/>
        <v>11</v>
      </c>
      <c r="V39" s="113">
        <f t="shared" si="14"/>
        <v>11</v>
      </c>
      <c r="W39" s="113">
        <f t="shared" si="14"/>
        <v>11</v>
      </c>
      <c r="X39" s="113">
        <f t="shared" si="14"/>
        <v>11</v>
      </c>
      <c r="Y39" s="113">
        <f t="shared" si="14"/>
        <v>11</v>
      </c>
      <c r="Z39" s="113">
        <f t="shared" si="14"/>
        <v>11</v>
      </c>
      <c r="AA39" s="113">
        <f t="shared" si="14"/>
        <v>11</v>
      </c>
      <c r="AB39" s="113">
        <f t="shared" si="14"/>
        <v>11</v>
      </c>
      <c r="AC39" s="113">
        <f t="shared" si="14"/>
        <v>11</v>
      </c>
      <c r="AD39" s="113">
        <f t="shared" si="14"/>
        <v>11</v>
      </c>
      <c r="AE39" s="113">
        <f t="shared" si="14"/>
        <v>11</v>
      </c>
      <c r="AF39" s="113">
        <f t="shared" si="14"/>
        <v>11</v>
      </c>
      <c r="AG39" s="113">
        <f t="shared" si="14"/>
        <v>11</v>
      </c>
      <c r="AH39" s="113">
        <f t="shared" si="14"/>
        <v>11</v>
      </c>
      <c r="AI39" s="113">
        <f t="shared" si="14"/>
        <v>11</v>
      </c>
      <c r="AJ39" s="113">
        <f t="shared" si="14"/>
        <v>11</v>
      </c>
      <c r="AK39" s="113">
        <f t="shared" si="14"/>
        <v>11</v>
      </c>
      <c r="AL39" s="113">
        <f t="shared" si="14"/>
        <v>11</v>
      </c>
      <c r="AM39" s="113">
        <f t="shared" si="14"/>
        <v>11</v>
      </c>
      <c r="AN39" s="113">
        <f t="shared" si="14"/>
        <v>11</v>
      </c>
      <c r="AO39" s="113">
        <f t="shared" si="14"/>
        <v>11</v>
      </c>
      <c r="AP39" s="113">
        <f t="shared" si="14"/>
        <v>11</v>
      </c>
      <c r="AQ39" s="113">
        <f t="shared" si="14"/>
        <v>11</v>
      </c>
      <c r="AR39" s="113">
        <f t="shared" si="14"/>
        <v>11</v>
      </c>
      <c r="AS39" s="113">
        <f t="shared" si="14"/>
        <v>11</v>
      </c>
      <c r="AT39" s="113">
        <f t="shared" si="14"/>
        <v>11</v>
      </c>
      <c r="AU39" s="113">
        <f t="shared" si="14"/>
        <v>11</v>
      </c>
      <c r="AV39" s="113">
        <f t="shared" si="14"/>
        <v>11</v>
      </c>
      <c r="AW39" s="113">
        <f t="shared" si="14"/>
        <v>11</v>
      </c>
      <c r="AX39" s="113">
        <f t="shared" si="14"/>
        <v>11</v>
      </c>
      <c r="AY39" s="113">
        <f t="shared" si="14"/>
        <v>11</v>
      </c>
      <c r="AZ39" s="113">
        <f t="shared" si="14"/>
        <v>11</v>
      </c>
      <c r="BA39" s="113">
        <f t="shared" si="14"/>
        <v>11</v>
      </c>
      <c r="BB39" s="113">
        <f t="shared" si="14"/>
        <v>11</v>
      </c>
      <c r="BC39" s="113">
        <f t="shared" si="14"/>
        <v>11</v>
      </c>
      <c r="BD39" s="113">
        <f t="shared" si="14"/>
        <v>11</v>
      </c>
      <c r="BE39" s="113">
        <f t="shared" si="14"/>
        <v>11</v>
      </c>
      <c r="BF39" s="113">
        <f t="shared" si="14"/>
        <v>11</v>
      </c>
      <c r="BG39" s="113">
        <f t="shared" si="14"/>
        <v>11</v>
      </c>
      <c r="BH39" s="113">
        <f t="shared" si="14"/>
        <v>11</v>
      </c>
      <c r="BI39" s="113">
        <f t="shared" si="14"/>
        <v>11</v>
      </c>
      <c r="BJ39" s="113">
        <f t="shared" si="14"/>
        <v>11</v>
      </c>
    </row>
    <row r="41" spans="1:62" ht="51" x14ac:dyDescent="0.25">
      <c r="A41" s="9" t="s">
        <v>233</v>
      </c>
      <c r="B41" s="62" t="s">
        <v>246</v>
      </c>
      <c r="C41" s="62">
        <v>43831</v>
      </c>
      <c r="D41" s="62">
        <v>43862</v>
      </c>
      <c r="E41" s="62">
        <v>43891</v>
      </c>
      <c r="F41" s="62">
        <v>43922</v>
      </c>
      <c r="G41" s="62">
        <v>43952</v>
      </c>
      <c r="H41" s="62">
        <v>43983</v>
      </c>
      <c r="I41" s="62">
        <v>44013</v>
      </c>
      <c r="J41" s="62">
        <v>44044</v>
      </c>
      <c r="K41" s="62">
        <v>44075</v>
      </c>
      <c r="L41" s="62">
        <v>44105</v>
      </c>
      <c r="M41" s="62">
        <v>44136</v>
      </c>
      <c r="N41" s="62">
        <v>44166</v>
      </c>
      <c r="O41" s="62">
        <v>44197</v>
      </c>
      <c r="P41" s="62">
        <v>44228</v>
      </c>
      <c r="Q41" s="62">
        <v>44256</v>
      </c>
      <c r="R41" s="62">
        <v>44287</v>
      </c>
      <c r="S41" s="62">
        <v>44317</v>
      </c>
      <c r="T41" s="62">
        <v>44348</v>
      </c>
      <c r="U41" s="62">
        <v>44378</v>
      </c>
      <c r="V41" s="62">
        <v>44409</v>
      </c>
      <c r="W41" s="62">
        <v>44440</v>
      </c>
      <c r="X41" s="62">
        <v>44470</v>
      </c>
      <c r="Y41" s="62">
        <v>44501</v>
      </c>
      <c r="Z41" s="62">
        <v>44531</v>
      </c>
      <c r="AA41" s="62">
        <v>44562</v>
      </c>
      <c r="AB41" s="62">
        <v>44593</v>
      </c>
      <c r="AC41" s="62">
        <v>44621</v>
      </c>
      <c r="AD41" s="62">
        <v>44652</v>
      </c>
      <c r="AE41" s="62">
        <v>44682</v>
      </c>
      <c r="AF41" s="62">
        <v>44713</v>
      </c>
      <c r="AG41" s="62">
        <v>44743</v>
      </c>
      <c r="AH41" s="62">
        <v>44774</v>
      </c>
      <c r="AI41" s="62">
        <v>44805</v>
      </c>
      <c r="AJ41" s="62">
        <v>44835</v>
      </c>
      <c r="AK41" s="62">
        <v>44866</v>
      </c>
      <c r="AL41" s="62">
        <v>44896</v>
      </c>
      <c r="AM41" s="62">
        <v>44927</v>
      </c>
      <c r="AN41" s="62">
        <v>44958</v>
      </c>
      <c r="AO41" s="62">
        <v>44986</v>
      </c>
      <c r="AP41" s="62">
        <v>45017</v>
      </c>
      <c r="AQ41" s="62">
        <v>45047</v>
      </c>
      <c r="AR41" s="62">
        <v>45078</v>
      </c>
      <c r="AS41" s="62">
        <v>45108</v>
      </c>
      <c r="AT41" s="62">
        <v>45139</v>
      </c>
      <c r="AU41" s="62">
        <v>45170</v>
      </c>
      <c r="AV41" s="62">
        <v>45200</v>
      </c>
      <c r="AW41" s="62">
        <v>45231</v>
      </c>
      <c r="AX41" s="62">
        <v>45261</v>
      </c>
      <c r="AY41" s="62">
        <v>45292</v>
      </c>
      <c r="AZ41" s="62">
        <v>45323</v>
      </c>
      <c r="BA41" s="62">
        <v>45352</v>
      </c>
      <c r="BB41" s="62">
        <v>45383</v>
      </c>
      <c r="BC41" s="62">
        <v>45413</v>
      </c>
      <c r="BD41" s="62">
        <v>45444</v>
      </c>
      <c r="BE41" s="62">
        <v>45474</v>
      </c>
      <c r="BF41" s="62">
        <v>45505</v>
      </c>
      <c r="BG41" s="62">
        <v>45536</v>
      </c>
      <c r="BH41" s="62">
        <v>45566</v>
      </c>
      <c r="BI41" s="62">
        <v>45597</v>
      </c>
      <c r="BJ41" s="62">
        <v>45627</v>
      </c>
    </row>
    <row r="42" spans="1:62" outlineLevel="1" x14ac:dyDescent="0.25">
      <c r="A42" s="18" t="s">
        <v>178</v>
      </c>
      <c r="B42" s="128">
        <f>H17</f>
        <v>7</v>
      </c>
      <c r="C42" s="1">
        <f>C27*$H$17</f>
        <v>3.5</v>
      </c>
      <c r="D42" s="1">
        <f t="shared" ref="D42:N42" si="15">D27*$H$17</f>
        <v>3.5</v>
      </c>
      <c r="E42" s="1">
        <f t="shared" si="15"/>
        <v>3.5</v>
      </c>
      <c r="F42" s="1">
        <f t="shared" si="15"/>
        <v>3.5</v>
      </c>
      <c r="G42" s="1">
        <f t="shared" si="15"/>
        <v>3.5</v>
      </c>
      <c r="H42" s="1">
        <f t="shared" si="15"/>
        <v>3.5</v>
      </c>
      <c r="I42" s="1">
        <f t="shared" si="15"/>
        <v>3.5</v>
      </c>
      <c r="J42" s="1">
        <f t="shared" si="15"/>
        <v>3.5</v>
      </c>
      <c r="K42" s="1">
        <f t="shared" si="15"/>
        <v>3.5</v>
      </c>
      <c r="L42" s="1">
        <f t="shared" si="15"/>
        <v>3.5</v>
      </c>
      <c r="M42" s="1">
        <f t="shared" si="15"/>
        <v>3.5</v>
      </c>
      <c r="N42" s="1">
        <f t="shared" si="15"/>
        <v>3.5</v>
      </c>
      <c r="O42" s="1">
        <f t="shared" ref="O42:BJ42" si="16">O27*$H$17</f>
        <v>3.5</v>
      </c>
      <c r="P42" s="1">
        <f t="shared" si="16"/>
        <v>3.5</v>
      </c>
      <c r="Q42" s="1">
        <f t="shared" si="16"/>
        <v>3.5</v>
      </c>
      <c r="R42" s="1">
        <f t="shared" si="16"/>
        <v>3.5</v>
      </c>
      <c r="S42" s="1">
        <f t="shared" si="16"/>
        <v>3.5</v>
      </c>
      <c r="T42" s="1">
        <f t="shared" si="16"/>
        <v>3.5</v>
      </c>
      <c r="U42" s="1">
        <f t="shared" si="16"/>
        <v>3.5</v>
      </c>
      <c r="V42" s="1">
        <f t="shared" si="16"/>
        <v>3.5</v>
      </c>
      <c r="W42" s="1">
        <f t="shared" si="16"/>
        <v>3.5</v>
      </c>
      <c r="X42" s="1">
        <f t="shared" si="16"/>
        <v>3.5</v>
      </c>
      <c r="Y42" s="1">
        <f t="shared" si="16"/>
        <v>3.5</v>
      </c>
      <c r="Z42" s="1">
        <f t="shared" si="16"/>
        <v>3.5</v>
      </c>
      <c r="AA42" s="1">
        <f t="shared" si="16"/>
        <v>3.5</v>
      </c>
      <c r="AB42" s="1">
        <f t="shared" si="16"/>
        <v>3.5</v>
      </c>
      <c r="AC42" s="1">
        <f t="shared" si="16"/>
        <v>3.5</v>
      </c>
      <c r="AD42" s="1">
        <f t="shared" si="16"/>
        <v>3.5</v>
      </c>
      <c r="AE42" s="1">
        <f t="shared" si="16"/>
        <v>3.5</v>
      </c>
      <c r="AF42" s="1">
        <f t="shared" si="16"/>
        <v>3.5</v>
      </c>
      <c r="AG42" s="1">
        <f t="shared" si="16"/>
        <v>3.5</v>
      </c>
      <c r="AH42" s="1">
        <f t="shared" si="16"/>
        <v>3.5</v>
      </c>
      <c r="AI42" s="1">
        <f t="shared" si="16"/>
        <v>3.5</v>
      </c>
      <c r="AJ42" s="1">
        <f t="shared" si="16"/>
        <v>3.5</v>
      </c>
      <c r="AK42" s="1">
        <f t="shared" si="16"/>
        <v>3.5</v>
      </c>
      <c r="AL42" s="1">
        <f t="shared" si="16"/>
        <v>3.5</v>
      </c>
      <c r="AM42" s="1">
        <f t="shared" si="16"/>
        <v>3.5</v>
      </c>
      <c r="AN42" s="1">
        <f t="shared" si="16"/>
        <v>3.5</v>
      </c>
      <c r="AO42" s="1">
        <f t="shared" si="16"/>
        <v>3.5</v>
      </c>
      <c r="AP42" s="1">
        <f t="shared" si="16"/>
        <v>3.5</v>
      </c>
      <c r="AQ42" s="1">
        <f t="shared" si="16"/>
        <v>3.5</v>
      </c>
      <c r="AR42" s="1">
        <f t="shared" si="16"/>
        <v>3.5</v>
      </c>
      <c r="AS42" s="1">
        <f t="shared" si="16"/>
        <v>3.5</v>
      </c>
      <c r="AT42" s="1">
        <f t="shared" si="16"/>
        <v>3.5</v>
      </c>
      <c r="AU42" s="1">
        <f t="shared" si="16"/>
        <v>3.5</v>
      </c>
      <c r="AV42" s="1">
        <f t="shared" si="16"/>
        <v>3.5</v>
      </c>
      <c r="AW42" s="1">
        <f t="shared" si="16"/>
        <v>3.5</v>
      </c>
      <c r="AX42" s="1">
        <f t="shared" si="16"/>
        <v>3.5</v>
      </c>
      <c r="AY42" s="1">
        <f t="shared" si="16"/>
        <v>3.5</v>
      </c>
      <c r="AZ42" s="1">
        <f t="shared" si="16"/>
        <v>3.5</v>
      </c>
      <c r="BA42" s="1">
        <f t="shared" si="16"/>
        <v>3.5</v>
      </c>
      <c r="BB42" s="1">
        <f t="shared" si="16"/>
        <v>3.5</v>
      </c>
      <c r="BC42" s="1">
        <f t="shared" si="16"/>
        <v>3.5</v>
      </c>
      <c r="BD42" s="1">
        <f t="shared" si="16"/>
        <v>3.5</v>
      </c>
      <c r="BE42" s="1">
        <f t="shared" si="16"/>
        <v>3.5</v>
      </c>
      <c r="BF42" s="1">
        <f t="shared" si="16"/>
        <v>3.5</v>
      </c>
      <c r="BG42" s="1">
        <f t="shared" si="16"/>
        <v>3.5</v>
      </c>
      <c r="BH42" s="1">
        <f t="shared" si="16"/>
        <v>3.5</v>
      </c>
      <c r="BI42" s="1">
        <f t="shared" si="16"/>
        <v>3.5</v>
      </c>
      <c r="BJ42" s="1">
        <f t="shared" si="16"/>
        <v>3.5</v>
      </c>
    </row>
    <row r="43" spans="1:62" outlineLevel="1" x14ac:dyDescent="0.25">
      <c r="A43" s="18" t="s">
        <v>229</v>
      </c>
      <c r="B43" s="128">
        <f>H17</f>
        <v>7</v>
      </c>
      <c r="C43" s="1">
        <f>C28*$H$17</f>
        <v>0</v>
      </c>
      <c r="D43" s="1">
        <f t="shared" ref="D43:N43" si="17">D28*$H$17</f>
        <v>0</v>
      </c>
      <c r="E43" s="1">
        <f t="shared" si="17"/>
        <v>0</v>
      </c>
      <c r="F43" s="1">
        <f t="shared" si="17"/>
        <v>3.5</v>
      </c>
      <c r="G43" s="1">
        <f t="shared" si="17"/>
        <v>3.5</v>
      </c>
      <c r="H43" s="1">
        <f t="shared" si="17"/>
        <v>3.5</v>
      </c>
      <c r="I43" s="1">
        <f t="shared" si="17"/>
        <v>3.5</v>
      </c>
      <c r="J43" s="1">
        <f t="shared" si="17"/>
        <v>3.5</v>
      </c>
      <c r="K43" s="1">
        <f t="shared" si="17"/>
        <v>3.5</v>
      </c>
      <c r="L43" s="1">
        <f t="shared" si="17"/>
        <v>3.5</v>
      </c>
      <c r="M43" s="1">
        <f t="shared" si="17"/>
        <v>3.5</v>
      </c>
      <c r="N43" s="1">
        <f t="shared" si="17"/>
        <v>3.5</v>
      </c>
      <c r="O43" s="1">
        <f t="shared" ref="O43:BJ43" si="18">O28*$H$17</f>
        <v>3.5</v>
      </c>
      <c r="P43" s="1">
        <f t="shared" si="18"/>
        <v>3.5</v>
      </c>
      <c r="Q43" s="1">
        <f t="shared" si="18"/>
        <v>3.5</v>
      </c>
      <c r="R43" s="1">
        <f t="shared" si="18"/>
        <v>3.5</v>
      </c>
      <c r="S43" s="1">
        <f t="shared" si="18"/>
        <v>3.5</v>
      </c>
      <c r="T43" s="1">
        <f t="shared" si="18"/>
        <v>3.5</v>
      </c>
      <c r="U43" s="1">
        <f t="shared" si="18"/>
        <v>3.5</v>
      </c>
      <c r="V43" s="1">
        <f t="shared" si="18"/>
        <v>3.5</v>
      </c>
      <c r="W43" s="1">
        <f t="shared" si="18"/>
        <v>3.5</v>
      </c>
      <c r="X43" s="1">
        <f t="shared" si="18"/>
        <v>3.5</v>
      </c>
      <c r="Y43" s="1">
        <f t="shared" si="18"/>
        <v>3.5</v>
      </c>
      <c r="Z43" s="1">
        <f t="shared" si="18"/>
        <v>3.5</v>
      </c>
      <c r="AA43" s="1">
        <f t="shared" si="18"/>
        <v>3.5</v>
      </c>
      <c r="AB43" s="1">
        <f t="shared" si="18"/>
        <v>3.5</v>
      </c>
      <c r="AC43" s="1">
        <f t="shared" si="18"/>
        <v>3.5</v>
      </c>
      <c r="AD43" s="1">
        <f t="shared" si="18"/>
        <v>3.5</v>
      </c>
      <c r="AE43" s="1">
        <f t="shared" si="18"/>
        <v>3.5</v>
      </c>
      <c r="AF43" s="1">
        <f t="shared" si="18"/>
        <v>3.5</v>
      </c>
      <c r="AG43" s="1">
        <f t="shared" si="18"/>
        <v>3.5</v>
      </c>
      <c r="AH43" s="1">
        <f t="shared" si="18"/>
        <v>3.5</v>
      </c>
      <c r="AI43" s="1">
        <f t="shared" si="18"/>
        <v>3.5</v>
      </c>
      <c r="AJ43" s="1">
        <f t="shared" si="18"/>
        <v>3.5</v>
      </c>
      <c r="AK43" s="1">
        <f t="shared" si="18"/>
        <v>3.5</v>
      </c>
      <c r="AL43" s="1">
        <f t="shared" si="18"/>
        <v>3.5</v>
      </c>
      <c r="AM43" s="1">
        <f t="shared" si="18"/>
        <v>3.5</v>
      </c>
      <c r="AN43" s="1">
        <f t="shared" si="18"/>
        <v>3.5</v>
      </c>
      <c r="AO43" s="1">
        <f t="shared" si="18"/>
        <v>3.5</v>
      </c>
      <c r="AP43" s="1">
        <f t="shared" si="18"/>
        <v>3.5</v>
      </c>
      <c r="AQ43" s="1">
        <f t="shared" si="18"/>
        <v>3.5</v>
      </c>
      <c r="AR43" s="1">
        <f t="shared" si="18"/>
        <v>3.5</v>
      </c>
      <c r="AS43" s="1">
        <f t="shared" si="18"/>
        <v>3.5</v>
      </c>
      <c r="AT43" s="1">
        <f t="shared" si="18"/>
        <v>3.5</v>
      </c>
      <c r="AU43" s="1">
        <f t="shared" si="18"/>
        <v>3.5</v>
      </c>
      <c r="AV43" s="1">
        <f t="shared" si="18"/>
        <v>3.5</v>
      </c>
      <c r="AW43" s="1">
        <f t="shared" si="18"/>
        <v>3.5</v>
      </c>
      <c r="AX43" s="1">
        <f t="shared" si="18"/>
        <v>3.5</v>
      </c>
      <c r="AY43" s="1">
        <f t="shared" si="18"/>
        <v>3.5</v>
      </c>
      <c r="AZ43" s="1">
        <f t="shared" si="18"/>
        <v>3.5</v>
      </c>
      <c r="BA43" s="1">
        <f t="shared" si="18"/>
        <v>3.5</v>
      </c>
      <c r="BB43" s="1">
        <f t="shared" si="18"/>
        <v>3.5</v>
      </c>
      <c r="BC43" s="1">
        <f t="shared" si="18"/>
        <v>3.5</v>
      </c>
      <c r="BD43" s="1">
        <f t="shared" si="18"/>
        <v>3.5</v>
      </c>
      <c r="BE43" s="1">
        <f t="shared" si="18"/>
        <v>3.5</v>
      </c>
      <c r="BF43" s="1">
        <f t="shared" si="18"/>
        <v>3.5</v>
      </c>
      <c r="BG43" s="1">
        <f t="shared" si="18"/>
        <v>3.5</v>
      </c>
      <c r="BH43" s="1">
        <f t="shared" si="18"/>
        <v>3.5</v>
      </c>
      <c r="BI43" s="1">
        <f t="shared" si="18"/>
        <v>3.5</v>
      </c>
      <c r="BJ43" s="1">
        <f t="shared" si="18"/>
        <v>3.5</v>
      </c>
    </row>
    <row r="44" spans="1:62" outlineLevel="1" x14ac:dyDescent="0.25">
      <c r="A44" s="18" t="s">
        <v>227</v>
      </c>
      <c r="B44" s="128">
        <f>H17</f>
        <v>7</v>
      </c>
      <c r="C44" s="1">
        <f>C29*$H$17</f>
        <v>0</v>
      </c>
      <c r="D44" s="1">
        <f t="shared" ref="D44:N44" si="19">D29*$H$17</f>
        <v>0</v>
      </c>
      <c r="E44" s="1">
        <f t="shared" si="19"/>
        <v>0</v>
      </c>
      <c r="F44" s="1">
        <f t="shared" si="19"/>
        <v>0</v>
      </c>
      <c r="G44" s="1">
        <f t="shared" si="19"/>
        <v>0</v>
      </c>
      <c r="H44" s="1">
        <f t="shared" si="19"/>
        <v>0</v>
      </c>
      <c r="I44" s="1">
        <f t="shared" si="19"/>
        <v>0</v>
      </c>
      <c r="J44" s="1">
        <f t="shared" si="19"/>
        <v>7</v>
      </c>
      <c r="K44" s="1">
        <f t="shared" si="19"/>
        <v>7</v>
      </c>
      <c r="L44" s="1">
        <f t="shared" si="19"/>
        <v>7</v>
      </c>
      <c r="M44" s="1">
        <f t="shared" si="19"/>
        <v>7</v>
      </c>
      <c r="N44" s="1">
        <f t="shared" si="19"/>
        <v>7</v>
      </c>
      <c r="O44" s="1">
        <f t="shared" ref="O44:BJ44" si="20">O29*$H$17</f>
        <v>7</v>
      </c>
      <c r="P44" s="1">
        <f t="shared" si="20"/>
        <v>7</v>
      </c>
      <c r="Q44" s="1">
        <f t="shared" si="20"/>
        <v>7</v>
      </c>
      <c r="R44" s="1">
        <f t="shared" si="20"/>
        <v>7</v>
      </c>
      <c r="S44" s="1">
        <f t="shared" si="20"/>
        <v>7</v>
      </c>
      <c r="T44" s="1">
        <f t="shared" si="20"/>
        <v>7</v>
      </c>
      <c r="U44" s="1">
        <f t="shared" si="20"/>
        <v>7</v>
      </c>
      <c r="V44" s="1">
        <f t="shared" si="20"/>
        <v>7</v>
      </c>
      <c r="W44" s="1">
        <f t="shared" si="20"/>
        <v>7</v>
      </c>
      <c r="X44" s="1">
        <f t="shared" si="20"/>
        <v>7</v>
      </c>
      <c r="Y44" s="1">
        <f t="shared" si="20"/>
        <v>7</v>
      </c>
      <c r="Z44" s="1">
        <f t="shared" si="20"/>
        <v>7</v>
      </c>
      <c r="AA44" s="1">
        <f t="shared" si="20"/>
        <v>7</v>
      </c>
      <c r="AB44" s="1">
        <f t="shared" si="20"/>
        <v>7</v>
      </c>
      <c r="AC44" s="1">
        <f t="shared" si="20"/>
        <v>7</v>
      </c>
      <c r="AD44" s="1">
        <f t="shared" si="20"/>
        <v>7</v>
      </c>
      <c r="AE44" s="1">
        <f t="shared" si="20"/>
        <v>7</v>
      </c>
      <c r="AF44" s="1">
        <f t="shared" si="20"/>
        <v>7</v>
      </c>
      <c r="AG44" s="1">
        <f t="shared" si="20"/>
        <v>7</v>
      </c>
      <c r="AH44" s="1">
        <f t="shared" si="20"/>
        <v>7</v>
      </c>
      <c r="AI44" s="1">
        <f t="shared" si="20"/>
        <v>7</v>
      </c>
      <c r="AJ44" s="1">
        <f t="shared" si="20"/>
        <v>7</v>
      </c>
      <c r="AK44" s="1">
        <f t="shared" si="20"/>
        <v>7</v>
      </c>
      <c r="AL44" s="1">
        <f t="shared" si="20"/>
        <v>7</v>
      </c>
      <c r="AM44" s="1">
        <f t="shared" si="20"/>
        <v>7</v>
      </c>
      <c r="AN44" s="1">
        <f t="shared" si="20"/>
        <v>7</v>
      </c>
      <c r="AO44" s="1">
        <f t="shared" si="20"/>
        <v>7</v>
      </c>
      <c r="AP44" s="1">
        <f t="shared" si="20"/>
        <v>7</v>
      </c>
      <c r="AQ44" s="1">
        <f t="shared" si="20"/>
        <v>7</v>
      </c>
      <c r="AR44" s="1">
        <f t="shared" si="20"/>
        <v>7</v>
      </c>
      <c r="AS44" s="1">
        <f t="shared" si="20"/>
        <v>7</v>
      </c>
      <c r="AT44" s="1">
        <f t="shared" si="20"/>
        <v>7</v>
      </c>
      <c r="AU44" s="1">
        <f t="shared" si="20"/>
        <v>7</v>
      </c>
      <c r="AV44" s="1">
        <f t="shared" si="20"/>
        <v>7</v>
      </c>
      <c r="AW44" s="1">
        <f t="shared" si="20"/>
        <v>7</v>
      </c>
      <c r="AX44" s="1">
        <f t="shared" si="20"/>
        <v>7</v>
      </c>
      <c r="AY44" s="1">
        <f t="shared" si="20"/>
        <v>7</v>
      </c>
      <c r="AZ44" s="1">
        <f t="shared" si="20"/>
        <v>7</v>
      </c>
      <c r="BA44" s="1">
        <f t="shared" si="20"/>
        <v>7</v>
      </c>
      <c r="BB44" s="1">
        <f t="shared" si="20"/>
        <v>7</v>
      </c>
      <c r="BC44" s="1">
        <f t="shared" si="20"/>
        <v>7</v>
      </c>
      <c r="BD44" s="1">
        <f t="shared" si="20"/>
        <v>7</v>
      </c>
      <c r="BE44" s="1">
        <f t="shared" si="20"/>
        <v>7</v>
      </c>
      <c r="BF44" s="1">
        <f t="shared" si="20"/>
        <v>7</v>
      </c>
      <c r="BG44" s="1">
        <f t="shared" si="20"/>
        <v>7</v>
      </c>
      <c r="BH44" s="1">
        <f t="shared" si="20"/>
        <v>7</v>
      </c>
      <c r="BI44" s="1">
        <f t="shared" si="20"/>
        <v>7</v>
      </c>
      <c r="BJ44" s="1">
        <f t="shared" si="20"/>
        <v>7</v>
      </c>
    </row>
    <row r="45" spans="1:62" outlineLevel="1" x14ac:dyDescent="0.25">
      <c r="A45" s="18" t="s">
        <v>230</v>
      </c>
      <c r="B45" s="128">
        <f>H18</f>
        <v>10</v>
      </c>
      <c r="C45" s="1">
        <f t="shared" ref="C45:N45" si="21">C30*$H$18</f>
        <v>0</v>
      </c>
      <c r="D45" s="1">
        <f t="shared" si="21"/>
        <v>0</v>
      </c>
      <c r="E45" s="1">
        <f t="shared" si="21"/>
        <v>0</v>
      </c>
      <c r="F45" s="1">
        <f t="shared" si="21"/>
        <v>0</v>
      </c>
      <c r="G45" s="1">
        <f t="shared" si="21"/>
        <v>0</v>
      </c>
      <c r="H45" s="1">
        <f t="shared" si="21"/>
        <v>0</v>
      </c>
      <c r="I45" s="1">
        <f t="shared" si="21"/>
        <v>0</v>
      </c>
      <c r="J45" s="1">
        <f t="shared" si="21"/>
        <v>0</v>
      </c>
      <c r="K45" s="1">
        <f t="shared" si="21"/>
        <v>0</v>
      </c>
      <c r="L45" s="1">
        <f t="shared" si="21"/>
        <v>10</v>
      </c>
      <c r="M45" s="1">
        <f t="shared" si="21"/>
        <v>10</v>
      </c>
      <c r="N45" s="1">
        <f t="shared" si="21"/>
        <v>10</v>
      </c>
      <c r="O45" s="1">
        <f t="shared" ref="O45:BJ45" si="22">O30*$H$18</f>
        <v>10</v>
      </c>
      <c r="P45" s="1">
        <f t="shared" si="22"/>
        <v>10</v>
      </c>
      <c r="Q45" s="1">
        <f t="shared" si="22"/>
        <v>10</v>
      </c>
      <c r="R45" s="1">
        <f t="shared" si="22"/>
        <v>10</v>
      </c>
      <c r="S45" s="1">
        <f t="shared" si="22"/>
        <v>10</v>
      </c>
      <c r="T45" s="1">
        <f t="shared" si="22"/>
        <v>10</v>
      </c>
      <c r="U45" s="1">
        <f t="shared" si="22"/>
        <v>10</v>
      </c>
      <c r="V45" s="1">
        <f t="shared" si="22"/>
        <v>10</v>
      </c>
      <c r="W45" s="1">
        <f t="shared" si="22"/>
        <v>10</v>
      </c>
      <c r="X45" s="1">
        <f t="shared" si="22"/>
        <v>10</v>
      </c>
      <c r="Y45" s="1">
        <f t="shared" si="22"/>
        <v>10</v>
      </c>
      <c r="Z45" s="1">
        <f t="shared" si="22"/>
        <v>10</v>
      </c>
      <c r="AA45" s="1">
        <f t="shared" si="22"/>
        <v>10</v>
      </c>
      <c r="AB45" s="1">
        <f t="shared" si="22"/>
        <v>10</v>
      </c>
      <c r="AC45" s="1">
        <f t="shared" si="22"/>
        <v>10</v>
      </c>
      <c r="AD45" s="1">
        <f t="shared" si="22"/>
        <v>10</v>
      </c>
      <c r="AE45" s="1">
        <f t="shared" si="22"/>
        <v>10</v>
      </c>
      <c r="AF45" s="1">
        <f t="shared" si="22"/>
        <v>10</v>
      </c>
      <c r="AG45" s="1">
        <f t="shared" si="22"/>
        <v>10</v>
      </c>
      <c r="AH45" s="1">
        <f t="shared" si="22"/>
        <v>10</v>
      </c>
      <c r="AI45" s="1">
        <f t="shared" si="22"/>
        <v>10</v>
      </c>
      <c r="AJ45" s="1">
        <f t="shared" si="22"/>
        <v>10</v>
      </c>
      <c r="AK45" s="1">
        <f t="shared" si="22"/>
        <v>10</v>
      </c>
      <c r="AL45" s="1">
        <f t="shared" si="22"/>
        <v>10</v>
      </c>
      <c r="AM45" s="1">
        <f t="shared" si="22"/>
        <v>10</v>
      </c>
      <c r="AN45" s="1">
        <f t="shared" si="22"/>
        <v>10</v>
      </c>
      <c r="AO45" s="1">
        <f t="shared" si="22"/>
        <v>10</v>
      </c>
      <c r="AP45" s="1">
        <f t="shared" si="22"/>
        <v>10</v>
      </c>
      <c r="AQ45" s="1">
        <f t="shared" si="22"/>
        <v>10</v>
      </c>
      <c r="AR45" s="1">
        <f t="shared" si="22"/>
        <v>10</v>
      </c>
      <c r="AS45" s="1">
        <f t="shared" si="22"/>
        <v>10</v>
      </c>
      <c r="AT45" s="1">
        <f t="shared" si="22"/>
        <v>10</v>
      </c>
      <c r="AU45" s="1">
        <f t="shared" si="22"/>
        <v>10</v>
      </c>
      <c r="AV45" s="1">
        <f t="shared" si="22"/>
        <v>10</v>
      </c>
      <c r="AW45" s="1">
        <f t="shared" si="22"/>
        <v>10</v>
      </c>
      <c r="AX45" s="1">
        <f t="shared" si="22"/>
        <v>10</v>
      </c>
      <c r="AY45" s="1">
        <f t="shared" si="22"/>
        <v>10</v>
      </c>
      <c r="AZ45" s="1">
        <f t="shared" si="22"/>
        <v>10</v>
      </c>
      <c r="BA45" s="1">
        <f t="shared" si="22"/>
        <v>10</v>
      </c>
      <c r="BB45" s="1">
        <f t="shared" si="22"/>
        <v>10</v>
      </c>
      <c r="BC45" s="1">
        <f t="shared" si="22"/>
        <v>10</v>
      </c>
      <c r="BD45" s="1">
        <f t="shared" si="22"/>
        <v>10</v>
      </c>
      <c r="BE45" s="1">
        <f t="shared" si="22"/>
        <v>10</v>
      </c>
      <c r="BF45" s="1">
        <f t="shared" si="22"/>
        <v>10</v>
      </c>
      <c r="BG45" s="1">
        <f t="shared" si="22"/>
        <v>10</v>
      </c>
      <c r="BH45" s="1">
        <f t="shared" si="22"/>
        <v>10</v>
      </c>
      <c r="BI45" s="1">
        <f t="shared" si="22"/>
        <v>10</v>
      </c>
      <c r="BJ45" s="1">
        <f t="shared" si="22"/>
        <v>10</v>
      </c>
    </row>
    <row r="46" spans="1:62" outlineLevel="1" x14ac:dyDescent="0.25">
      <c r="A46" s="18" t="s">
        <v>230</v>
      </c>
      <c r="B46" s="128">
        <f>H18</f>
        <v>10</v>
      </c>
      <c r="C46" s="1">
        <f t="shared" ref="C46:N46" si="23">C31*$H$18</f>
        <v>0</v>
      </c>
      <c r="D46" s="1">
        <f t="shared" si="23"/>
        <v>0</v>
      </c>
      <c r="E46" s="1">
        <f t="shared" si="23"/>
        <v>0</v>
      </c>
      <c r="F46" s="1">
        <f t="shared" si="23"/>
        <v>0</v>
      </c>
      <c r="G46" s="1">
        <f t="shared" si="23"/>
        <v>0</v>
      </c>
      <c r="H46" s="1">
        <f t="shared" si="23"/>
        <v>0</v>
      </c>
      <c r="I46" s="1">
        <f t="shared" si="23"/>
        <v>0</v>
      </c>
      <c r="J46" s="1">
        <f t="shared" si="23"/>
        <v>0</v>
      </c>
      <c r="K46" s="1">
        <f t="shared" si="23"/>
        <v>0</v>
      </c>
      <c r="L46" s="1">
        <f t="shared" si="23"/>
        <v>0</v>
      </c>
      <c r="M46" s="1">
        <f t="shared" si="23"/>
        <v>10</v>
      </c>
      <c r="N46" s="1">
        <f t="shared" si="23"/>
        <v>10</v>
      </c>
      <c r="O46" s="1">
        <f t="shared" ref="O46:BJ46" si="24">O31*$H$18</f>
        <v>10</v>
      </c>
      <c r="P46" s="1">
        <f t="shared" si="24"/>
        <v>10</v>
      </c>
      <c r="Q46" s="1">
        <f t="shared" si="24"/>
        <v>10</v>
      </c>
      <c r="R46" s="1">
        <f t="shared" si="24"/>
        <v>10</v>
      </c>
      <c r="S46" s="1">
        <f t="shared" si="24"/>
        <v>10</v>
      </c>
      <c r="T46" s="1">
        <f t="shared" si="24"/>
        <v>10</v>
      </c>
      <c r="U46" s="1">
        <f t="shared" si="24"/>
        <v>10</v>
      </c>
      <c r="V46" s="1">
        <f t="shared" si="24"/>
        <v>10</v>
      </c>
      <c r="W46" s="1">
        <f t="shared" si="24"/>
        <v>10</v>
      </c>
      <c r="X46" s="1">
        <f t="shared" si="24"/>
        <v>10</v>
      </c>
      <c r="Y46" s="1">
        <f t="shared" si="24"/>
        <v>10</v>
      </c>
      <c r="Z46" s="1">
        <f t="shared" si="24"/>
        <v>10</v>
      </c>
      <c r="AA46" s="1">
        <f t="shared" si="24"/>
        <v>10</v>
      </c>
      <c r="AB46" s="1">
        <f t="shared" si="24"/>
        <v>10</v>
      </c>
      <c r="AC46" s="1">
        <f t="shared" si="24"/>
        <v>10</v>
      </c>
      <c r="AD46" s="1">
        <f t="shared" si="24"/>
        <v>10</v>
      </c>
      <c r="AE46" s="1">
        <f t="shared" si="24"/>
        <v>10</v>
      </c>
      <c r="AF46" s="1">
        <f t="shared" si="24"/>
        <v>10</v>
      </c>
      <c r="AG46" s="1">
        <f t="shared" si="24"/>
        <v>10</v>
      </c>
      <c r="AH46" s="1">
        <f t="shared" si="24"/>
        <v>10</v>
      </c>
      <c r="AI46" s="1">
        <f t="shared" si="24"/>
        <v>10</v>
      </c>
      <c r="AJ46" s="1">
        <f t="shared" si="24"/>
        <v>10</v>
      </c>
      <c r="AK46" s="1">
        <f t="shared" si="24"/>
        <v>10</v>
      </c>
      <c r="AL46" s="1">
        <f t="shared" si="24"/>
        <v>10</v>
      </c>
      <c r="AM46" s="1">
        <f t="shared" si="24"/>
        <v>10</v>
      </c>
      <c r="AN46" s="1">
        <f t="shared" si="24"/>
        <v>10</v>
      </c>
      <c r="AO46" s="1">
        <f t="shared" si="24"/>
        <v>10</v>
      </c>
      <c r="AP46" s="1">
        <f t="shared" si="24"/>
        <v>10</v>
      </c>
      <c r="AQ46" s="1">
        <f t="shared" si="24"/>
        <v>10</v>
      </c>
      <c r="AR46" s="1">
        <f t="shared" si="24"/>
        <v>10</v>
      </c>
      <c r="AS46" s="1">
        <f t="shared" si="24"/>
        <v>10</v>
      </c>
      <c r="AT46" s="1">
        <f t="shared" si="24"/>
        <v>10</v>
      </c>
      <c r="AU46" s="1">
        <f t="shared" si="24"/>
        <v>10</v>
      </c>
      <c r="AV46" s="1">
        <f t="shared" si="24"/>
        <v>10</v>
      </c>
      <c r="AW46" s="1">
        <f t="shared" si="24"/>
        <v>10</v>
      </c>
      <c r="AX46" s="1">
        <f t="shared" si="24"/>
        <v>10</v>
      </c>
      <c r="AY46" s="1">
        <f t="shared" si="24"/>
        <v>10</v>
      </c>
      <c r="AZ46" s="1">
        <f t="shared" si="24"/>
        <v>10</v>
      </c>
      <c r="BA46" s="1">
        <f t="shared" si="24"/>
        <v>10</v>
      </c>
      <c r="BB46" s="1">
        <f t="shared" si="24"/>
        <v>10</v>
      </c>
      <c r="BC46" s="1">
        <f t="shared" si="24"/>
        <v>10</v>
      </c>
      <c r="BD46" s="1">
        <f t="shared" si="24"/>
        <v>10</v>
      </c>
      <c r="BE46" s="1">
        <f t="shared" si="24"/>
        <v>10</v>
      </c>
      <c r="BF46" s="1">
        <f t="shared" si="24"/>
        <v>10</v>
      </c>
      <c r="BG46" s="1">
        <f t="shared" si="24"/>
        <v>10</v>
      </c>
      <c r="BH46" s="1">
        <f t="shared" si="24"/>
        <v>10</v>
      </c>
      <c r="BI46" s="1">
        <f t="shared" si="24"/>
        <v>10</v>
      </c>
      <c r="BJ46" s="1">
        <f t="shared" si="24"/>
        <v>10</v>
      </c>
    </row>
    <row r="47" spans="1:62" outlineLevel="1" x14ac:dyDescent="0.25">
      <c r="A47" s="18" t="s">
        <v>230</v>
      </c>
      <c r="B47" s="128">
        <f>H18</f>
        <v>10</v>
      </c>
      <c r="C47" s="1">
        <f t="shared" ref="C47:N47" si="25">C32*$H$18</f>
        <v>0</v>
      </c>
      <c r="D47" s="1">
        <f t="shared" si="25"/>
        <v>0</v>
      </c>
      <c r="E47" s="1">
        <f t="shared" si="25"/>
        <v>0</v>
      </c>
      <c r="F47" s="1">
        <f t="shared" si="25"/>
        <v>0</v>
      </c>
      <c r="G47" s="1">
        <f t="shared" si="25"/>
        <v>0</v>
      </c>
      <c r="H47" s="1">
        <f t="shared" si="25"/>
        <v>0</v>
      </c>
      <c r="I47" s="1">
        <f t="shared" si="25"/>
        <v>0</v>
      </c>
      <c r="J47" s="1">
        <f t="shared" si="25"/>
        <v>0</v>
      </c>
      <c r="K47" s="1">
        <f t="shared" si="25"/>
        <v>0</v>
      </c>
      <c r="L47" s="1">
        <f t="shared" si="25"/>
        <v>0</v>
      </c>
      <c r="M47" s="1">
        <f t="shared" si="25"/>
        <v>10</v>
      </c>
      <c r="N47" s="1">
        <f t="shared" si="25"/>
        <v>10</v>
      </c>
      <c r="O47" s="1">
        <f t="shared" ref="O47:BJ47" si="26">O32*$H$18</f>
        <v>10</v>
      </c>
      <c r="P47" s="1">
        <f t="shared" si="26"/>
        <v>10</v>
      </c>
      <c r="Q47" s="1">
        <f t="shared" si="26"/>
        <v>10</v>
      </c>
      <c r="R47" s="1">
        <f t="shared" si="26"/>
        <v>10</v>
      </c>
      <c r="S47" s="1">
        <f t="shared" si="26"/>
        <v>10</v>
      </c>
      <c r="T47" s="1">
        <f t="shared" si="26"/>
        <v>10</v>
      </c>
      <c r="U47" s="1">
        <f t="shared" si="26"/>
        <v>10</v>
      </c>
      <c r="V47" s="1">
        <f t="shared" si="26"/>
        <v>10</v>
      </c>
      <c r="W47" s="1">
        <f t="shared" si="26"/>
        <v>10</v>
      </c>
      <c r="X47" s="1">
        <f t="shared" si="26"/>
        <v>10</v>
      </c>
      <c r="Y47" s="1">
        <f t="shared" si="26"/>
        <v>10</v>
      </c>
      <c r="Z47" s="1">
        <f t="shared" si="26"/>
        <v>10</v>
      </c>
      <c r="AA47" s="1">
        <f t="shared" si="26"/>
        <v>10</v>
      </c>
      <c r="AB47" s="1">
        <f t="shared" si="26"/>
        <v>10</v>
      </c>
      <c r="AC47" s="1">
        <f t="shared" si="26"/>
        <v>10</v>
      </c>
      <c r="AD47" s="1">
        <f t="shared" si="26"/>
        <v>10</v>
      </c>
      <c r="AE47" s="1">
        <f t="shared" si="26"/>
        <v>10</v>
      </c>
      <c r="AF47" s="1">
        <f t="shared" si="26"/>
        <v>10</v>
      </c>
      <c r="AG47" s="1">
        <f t="shared" si="26"/>
        <v>10</v>
      </c>
      <c r="AH47" s="1">
        <f t="shared" si="26"/>
        <v>10</v>
      </c>
      <c r="AI47" s="1">
        <f t="shared" si="26"/>
        <v>10</v>
      </c>
      <c r="AJ47" s="1">
        <f t="shared" si="26"/>
        <v>10</v>
      </c>
      <c r="AK47" s="1">
        <f t="shared" si="26"/>
        <v>10</v>
      </c>
      <c r="AL47" s="1">
        <f t="shared" si="26"/>
        <v>10</v>
      </c>
      <c r="AM47" s="1">
        <f t="shared" si="26"/>
        <v>10</v>
      </c>
      <c r="AN47" s="1">
        <f t="shared" si="26"/>
        <v>10</v>
      </c>
      <c r="AO47" s="1">
        <f t="shared" si="26"/>
        <v>10</v>
      </c>
      <c r="AP47" s="1">
        <f t="shared" si="26"/>
        <v>10</v>
      </c>
      <c r="AQ47" s="1">
        <f t="shared" si="26"/>
        <v>10</v>
      </c>
      <c r="AR47" s="1">
        <f t="shared" si="26"/>
        <v>10</v>
      </c>
      <c r="AS47" s="1">
        <f t="shared" si="26"/>
        <v>10</v>
      </c>
      <c r="AT47" s="1">
        <f t="shared" si="26"/>
        <v>10</v>
      </c>
      <c r="AU47" s="1">
        <f t="shared" si="26"/>
        <v>10</v>
      </c>
      <c r="AV47" s="1">
        <f t="shared" si="26"/>
        <v>10</v>
      </c>
      <c r="AW47" s="1">
        <f t="shared" si="26"/>
        <v>10</v>
      </c>
      <c r="AX47" s="1">
        <f t="shared" si="26"/>
        <v>10</v>
      </c>
      <c r="AY47" s="1">
        <f t="shared" si="26"/>
        <v>10</v>
      </c>
      <c r="AZ47" s="1">
        <f t="shared" si="26"/>
        <v>10</v>
      </c>
      <c r="BA47" s="1">
        <f t="shared" si="26"/>
        <v>10</v>
      </c>
      <c r="BB47" s="1">
        <f t="shared" si="26"/>
        <v>10</v>
      </c>
      <c r="BC47" s="1">
        <f t="shared" si="26"/>
        <v>10</v>
      </c>
      <c r="BD47" s="1">
        <f t="shared" si="26"/>
        <v>10</v>
      </c>
      <c r="BE47" s="1">
        <f t="shared" si="26"/>
        <v>10</v>
      </c>
      <c r="BF47" s="1">
        <f t="shared" si="26"/>
        <v>10</v>
      </c>
      <c r="BG47" s="1">
        <f t="shared" si="26"/>
        <v>10</v>
      </c>
      <c r="BH47" s="1">
        <f t="shared" si="26"/>
        <v>10</v>
      </c>
      <c r="BI47" s="1">
        <f t="shared" si="26"/>
        <v>10</v>
      </c>
      <c r="BJ47" s="1">
        <f t="shared" si="26"/>
        <v>10</v>
      </c>
    </row>
    <row r="48" spans="1:62" outlineLevel="1" x14ac:dyDescent="0.25">
      <c r="A48" s="18" t="s">
        <v>231</v>
      </c>
      <c r="B48" s="128">
        <f>H19</f>
        <v>15</v>
      </c>
      <c r="C48" s="1">
        <f t="shared" ref="C48:N48" si="27">C33*$H$19</f>
        <v>0</v>
      </c>
      <c r="D48" s="1">
        <f t="shared" si="27"/>
        <v>0</v>
      </c>
      <c r="E48" s="1">
        <f t="shared" si="27"/>
        <v>0</v>
      </c>
      <c r="F48" s="1">
        <f t="shared" si="27"/>
        <v>0</v>
      </c>
      <c r="G48" s="1">
        <f t="shared" si="27"/>
        <v>0</v>
      </c>
      <c r="H48" s="1">
        <f t="shared" si="27"/>
        <v>0</v>
      </c>
      <c r="I48" s="1">
        <f t="shared" si="27"/>
        <v>0</v>
      </c>
      <c r="J48" s="1">
        <f t="shared" si="27"/>
        <v>0</v>
      </c>
      <c r="K48" s="1">
        <f t="shared" si="27"/>
        <v>15</v>
      </c>
      <c r="L48" s="1">
        <f t="shared" si="27"/>
        <v>15</v>
      </c>
      <c r="M48" s="1">
        <f t="shared" si="27"/>
        <v>15</v>
      </c>
      <c r="N48" s="1">
        <f t="shared" si="27"/>
        <v>15</v>
      </c>
      <c r="O48" s="1">
        <f t="shared" ref="O48:BJ48" si="28">O33*$H$19</f>
        <v>15</v>
      </c>
      <c r="P48" s="1">
        <f t="shared" si="28"/>
        <v>15</v>
      </c>
      <c r="Q48" s="1">
        <f t="shared" si="28"/>
        <v>15</v>
      </c>
      <c r="R48" s="1">
        <f t="shared" si="28"/>
        <v>15</v>
      </c>
      <c r="S48" s="1">
        <f t="shared" si="28"/>
        <v>15</v>
      </c>
      <c r="T48" s="1">
        <f t="shared" si="28"/>
        <v>15</v>
      </c>
      <c r="U48" s="1">
        <f t="shared" si="28"/>
        <v>15</v>
      </c>
      <c r="V48" s="1">
        <f t="shared" si="28"/>
        <v>15</v>
      </c>
      <c r="W48" s="1">
        <f t="shared" si="28"/>
        <v>15</v>
      </c>
      <c r="X48" s="1">
        <f t="shared" si="28"/>
        <v>15</v>
      </c>
      <c r="Y48" s="1">
        <f t="shared" si="28"/>
        <v>15</v>
      </c>
      <c r="Z48" s="1">
        <f t="shared" si="28"/>
        <v>15</v>
      </c>
      <c r="AA48" s="1">
        <f t="shared" si="28"/>
        <v>15</v>
      </c>
      <c r="AB48" s="1">
        <f t="shared" si="28"/>
        <v>15</v>
      </c>
      <c r="AC48" s="1">
        <f t="shared" si="28"/>
        <v>15</v>
      </c>
      <c r="AD48" s="1">
        <f t="shared" si="28"/>
        <v>15</v>
      </c>
      <c r="AE48" s="1">
        <f t="shared" si="28"/>
        <v>15</v>
      </c>
      <c r="AF48" s="1">
        <f t="shared" si="28"/>
        <v>15</v>
      </c>
      <c r="AG48" s="1">
        <f t="shared" si="28"/>
        <v>15</v>
      </c>
      <c r="AH48" s="1">
        <f t="shared" si="28"/>
        <v>15</v>
      </c>
      <c r="AI48" s="1">
        <f t="shared" si="28"/>
        <v>15</v>
      </c>
      <c r="AJ48" s="1">
        <f t="shared" si="28"/>
        <v>15</v>
      </c>
      <c r="AK48" s="1">
        <f t="shared" si="28"/>
        <v>15</v>
      </c>
      <c r="AL48" s="1">
        <f t="shared" si="28"/>
        <v>15</v>
      </c>
      <c r="AM48" s="1">
        <f t="shared" si="28"/>
        <v>15</v>
      </c>
      <c r="AN48" s="1">
        <f t="shared" si="28"/>
        <v>15</v>
      </c>
      <c r="AO48" s="1">
        <f t="shared" si="28"/>
        <v>15</v>
      </c>
      <c r="AP48" s="1">
        <f t="shared" si="28"/>
        <v>15</v>
      </c>
      <c r="AQ48" s="1">
        <f t="shared" si="28"/>
        <v>15</v>
      </c>
      <c r="AR48" s="1">
        <f t="shared" si="28"/>
        <v>15</v>
      </c>
      <c r="AS48" s="1">
        <f t="shared" si="28"/>
        <v>15</v>
      </c>
      <c r="AT48" s="1">
        <f t="shared" si="28"/>
        <v>15</v>
      </c>
      <c r="AU48" s="1">
        <f t="shared" si="28"/>
        <v>15</v>
      </c>
      <c r="AV48" s="1">
        <f t="shared" si="28"/>
        <v>15</v>
      </c>
      <c r="AW48" s="1">
        <f t="shared" si="28"/>
        <v>15</v>
      </c>
      <c r="AX48" s="1">
        <f t="shared" si="28"/>
        <v>15</v>
      </c>
      <c r="AY48" s="1">
        <f t="shared" si="28"/>
        <v>15</v>
      </c>
      <c r="AZ48" s="1">
        <f t="shared" si="28"/>
        <v>15</v>
      </c>
      <c r="BA48" s="1">
        <f t="shared" si="28"/>
        <v>15</v>
      </c>
      <c r="BB48" s="1">
        <f t="shared" si="28"/>
        <v>15</v>
      </c>
      <c r="BC48" s="1">
        <f t="shared" si="28"/>
        <v>15</v>
      </c>
      <c r="BD48" s="1">
        <f t="shared" si="28"/>
        <v>15</v>
      </c>
      <c r="BE48" s="1">
        <f t="shared" si="28"/>
        <v>15</v>
      </c>
      <c r="BF48" s="1">
        <f t="shared" si="28"/>
        <v>15</v>
      </c>
      <c r="BG48" s="1">
        <f t="shared" si="28"/>
        <v>15</v>
      </c>
      <c r="BH48" s="1">
        <f t="shared" si="28"/>
        <v>15</v>
      </c>
      <c r="BI48" s="1">
        <f t="shared" si="28"/>
        <v>15</v>
      </c>
      <c r="BJ48" s="1">
        <f t="shared" si="28"/>
        <v>15</v>
      </c>
    </row>
    <row r="49" spans="1:62" outlineLevel="1" x14ac:dyDescent="0.25">
      <c r="A49" s="18" t="s">
        <v>231</v>
      </c>
      <c r="B49" s="128">
        <f>H19</f>
        <v>15</v>
      </c>
      <c r="C49" s="1">
        <f t="shared" ref="C49:N49" si="29">C34*$H$19</f>
        <v>0</v>
      </c>
      <c r="D49" s="1">
        <f t="shared" si="29"/>
        <v>0</v>
      </c>
      <c r="E49" s="1">
        <f t="shared" si="29"/>
        <v>0</v>
      </c>
      <c r="F49" s="1">
        <f t="shared" si="29"/>
        <v>0</v>
      </c>
      <c r="G49" s="1">
        <f t="shared" si="29"/>
        <v>0</v>
      </c>
      <c r="H49" s="1">
        <f t="shared" si="29"/>
        <v>0</v>
      </c>
      <c r="I49" s="1">
        <f t="shared" si="29"/>
        <v>0</v>
      </c>
      <c r="J49" s="1">
        <f t="shared" si="29"/>
        <v>0</v>
      </c>
      <c r="K49" s="1">
        <f t="shared" si="29"/>
        <v>0</v>
      </c>
      <c r="L49" s="1">
        <f t="shared" si="29"/>
        <v>15</v>
      </c>
      <c r="M49" s="1">
        <f t="shared" si="29"/>
        <v>15</v>
      </c>
      <c r="N49" s="1">
        <f t="shared" si="29"/>
        <v>15</v>
      </c>
      <c r="O49" s="1">
        <f t="shared" ref="O49:BJ49" si="30">O34*$H$19</f>
        <v>15</v>
      </c>
      <c r="P49" s="1">
        <f t="shared" si="30"/>
        <v>15</v>
      </c>
      <c r="Q49" s="1">
        <f t="shared" si="30"/>
        <v>15</v>
      </c>
      <c r="R49" s="1">
        <f t="shared" si="30"/>
        <v>15</v>
      </c>
      <c r="S49" s="1">
        <f t="shared" si="30"/>
        <v>15</v>
      </c>
      <c r="T49" s="1">
        <f t="shared" si="30"/>
        <v>15</v>
      </c>
      <c r="U49" s="1">
        <f t="shared" si="30"/>
        <v>15</v>
      </c>
      <c r="V49" s="1">
        <f t="shared" si="30"/>
        <v>15</v>
      </c>
      <c r="W49" s="1">
        <f t="shared" si="30"/>
        <v>15</v>
      </c>
      <c r="X49" s="1">
        <f t="shared" si="30"/>
        <v>15</v>
      </c>
      <c r="Y49" s="1">
        <f t="shared" si="30"/>
        <v>15</v>
      </c>
      <c r="Z49" s="1">
        <f t="shared" si="30"/>
        <v>15</v>
      </c>
      <c r="AA49" s="1">
        <f t="shared" si="30"/>
        <v>15</v>
      </c>
      <c r="AB49" s="1">
        <f t="shared" si="30"/>
        <v>15</v>
      </c>
      <c r="AC49" s="1">
        <f t="shared" si="30"/>
        <v>15</v>
      </c>
      <c r="AD49" s="1">
        <f t="shared" si="30"/>
        <v>15</v>
      </c>
      <c r="AE49" s="1">
        <f t="shared" si="30"/>
        <v>15</v>
      </c>
      <c r="AF49" s="1">
        <f t="shared" si="30"/>
        <v>15</v>
      </c>
      <c r="AG49" s="1">
        <f t="shared" si="30"/>
        <v>15</v>
      </c>
      <c r="AH49" s="1">
        <f t="shared" si="30"/>
        <v>15</v>
      </c>
      <c r="AI49" s="1">
        <f t="shared" si="30"/>
        <v>15</v>
      </c>
      <c r="AJ49" s="1">
        <f t="shared" si="30"/>
        <v>15</v>
      </c>
      <c r="AK49" s="1">
        <f t="shared" si="30"/>
        <v>15</v>
      </c>
      <c r="AL49" s="1">
        <f t="shared" si="30"/>
        <v>15</v>
      </c>
      <c r="AM49" s="1">
        <f t="shared" si="30"/>
        <v>15</v>
      </c>
      <c r="AN49" s="1">
        <f t="shared" si="30"/>
        <v>15</v>
      </c>
      <c r="AO49" s="1">
        <f t="shared" si="30"/>
        <v>15</v>
      </c>
      <c r="AP49" s="1">
        <f t="shared" si="30"/>
        <v>15</v>
      </c>
      <c r="AQ49" s="1">
        <f t="shared" si="30"/>
        <v>15</v>
      </c>
      <c r="AR49" s="1">
        <f t="shared" si="30"/>
        <v>15</v>
      </c>
      <c r="AS49" s="1">
        <f t="shared" si="30"/>
        <v>15</v>
      </c>
      <c r="AT49" s="1">
        <f t="shared" si="30"/>
        <v>15</v>
      </c>
      <c r="AU49" s="1">
        <f t="shared" si="30"/>
        <v>15</v>
      </c>
      <c r="AV49" s="1">
        <f t="shared" si="30"/>
        <v>15</v>
      </c>
      <c r="AW49" s="1">
        <f t="shared" si="30"/>
        <v>15</v>
      </c>
      <c r="AX49" s="1">
        <f t="shared" si="30"/>
        <v>15</v>
      </c>
      <c r="AY49" s="1">
        <f t="shared" si="30"/>
        <v>15</v>
      </c>
      <c r="AZ49" s="1">
        <f t="shared" si="30"/>
        <v>15</v>
      </c>
      <c r="BA49" s="1">
        <f t="shared" si="30"/>
        <v>15</v>
      </c>
      <c r="BB49" s="1">
        <f t="shared" si="30"/>
        <v>15</v>
      </c>
      <c r="BC49" s="1">
        <f t="shared" si="30"/>
        <v>15</v>
      </c>
      <c r="BD49" s="1">
        <f t="shared" si="30"/>
        <v>15</v>
      </c>
      <c r="BE49" s="1">
        <f t="shared" si="30"/>
        <v>15</v>
      </c>
      <c r="BF49" s="1">
        <f t="shared" si="30"/>
        <v>15</v>
      </c>
      <c r="BG49" s="1">
        <f t="shared" si="30"/>
        <v>15</v>
      </c>
      <c r="BH49" s="1">
        <f t="shared" si="30"/>
        <v>15</v>
      </c>
      <c r="BI49" s="1">
        <f t="shared" si="30"/>
        <v>15</v>
      </c>
      <c r="BJ49" s="1">
        <f t="shared" si="30"/>
        <v>15</v>
      </c>
    </row>
    <row r="50" spans="1:62" outlineLevel="1" x14ac:dyDescent="0.25">
      <c r="A50" s="18" t="s">
        <v>231</v>
      </c>
      <c r="B50" s="128">
        <f>H19</f>
        <v>15</v>
      </c>
      <c r="C50" s="1">
        <f t="shared" ref="C50:N50" si="31">C35*$H$19</f>
        <v>0</v>
      </c>
      <c r="D50" s="1">
        <f t="shared" si="31"/>
        <v>0</v>
      </c>
      <c r="E50" s="1">
        <f t="shared" si="31"/>
        <v>0</v>
      </c>
      <c r="F50" s="1">
        <f t="shared" si="31"/>
        <v>0</v>
      </c>
      <c r="G50" s="1">
        <f t="shared" si="31"/>
        <v>0</v>
      </c>
      <c r="H50" s="1">
        <f t="shared" si="31"/>
        <v>0</v>
      </c>
      <c r="I50" s="1">
        <f t="shared" si="31"/>
        <v>0</v>
      </c>
      <c r="J50" s="1">
        <f t="shared" si="31"/>
        <v>0</v>
      </c>
      <c r="K50" s="1">
        <f t="shared" si="31"/>
        <v>0</v>
      </c>
      <c r="L50" s="1">
        <f t="shared" si="31"/>
        <v>15</v>
      </c>
      <c r="M50" s="1">
        <f t="shared" si="31"/>
        <v>15</v>
      </c>
      <c r="N50" s="1">
        <f t="shared" si="31"/>
        <v>15</v>
      </c>
      <c r="O50" s="1">
        <f t="shared" ref="O50:BJ50" si="32">O35*$H$19</f>
        <v>15</v>
      </c>
      <c r="P50" s="1">
        <f t="shared" si="32"/>
        <v>15</v>
      </c>
      <c r="Q50" s="1">
        <f t="shared" si="32"/>
        <v>15</v>
      </c>
      <c r="R50" s="1">
        <f t="shared" si="32"/>
        <v>15</v>
      </c>
      <c r="S50" s="1">
        <f t="shared" si="32"/>
        <v>15</v>
      </c>
      <c r="T50" s="1">
        <f t="shared" si="32"/>
        <v>15</v>
      </c>
      <c r="U50" s="1">
        <f t="shared" si="32"/>
        <v>15</v>
      </c>
      <c r="V50" s="1">
        <f t="shared" si="32"/>
        <v>15</v>
      </c>
      <c r="W50" s="1">
        <f t="shared" si="32"/>
        <v>15</v>
      </c>
      <c r="X50" s="1">
        <f t="shared" si="32"/>
        <v>15</v>
      </c>
      <c r="Y50" s="1">
        <f t="shared" si="32"/>
        <v>15</v>
      </c>
      <c r="Z50" s="1">
        <f t="shared" si="32"/>
        <v>15</v>
      </c>
      <c r="AA50" s="1">
        <f t="shared" si="32"/>
        <v>15</v>
      </c>
      <c r="AB50" s="1">
        <f t="shared" si="32"/>
        <v>15</v>
      </c>
      <c r="AC50" s="1">
        <f t="shared" si="32"/>
        <v>15</v>
      </c>
      <c r="AD50" s="1">
        <f t="shared" si="32"/>
        <v>15</v>
      </c>
      <c r="AE50" s="1">
        <f t="shared" si="32"/>
        <v>15</v>
      </c>
      <c r="AF50" s="1">
        <f t="shared" si="32"/>
        <v>15</v>
      </c>
      <c r="AG50" s="1">
        <f t="shared" si="32"/>
        <v>15</v>
      </c>
      <c r="AH50" s="1">
        <f t="shared" si="32"/>
        <v>15</v>
      </c>
      <c r="AI50" s="1">
        <f t="shared" si="32"/>
        <v>15</v>
      </c>
      <c r="AJ50" s="1">
        <f t="shared" si="32"/>
        <v>15</v>
      </c>
      <c r="AK50" s="1">
        <f t="shared" si="32"/>
        <v>15</v>
      </c>
      <c r="AL50" s="1">
        <f t="shared" si="32"/>
        <v>15</v>
      </c>
      <c r="AM50" s="1">
        <f t="shared" si="32"/>
        <v>15</v>
      </c>
      <c r="AN50" s="1">
        <f t="shared" si="32"/>
        <v>15</v>
      </c>
      <c r="AO50" s="1">
        <f t="shared" si="32"/>
        <v>15</v>
      </c>
      <c r="AP50" s="1">
        <f t="shared" si="32"/>
        <v>15</v>
      </c>
      <c r="AQ50" s="1">
        <f t="shared" si="32"/>
        <v>15</v>
      </c>
      <c r="AR50" s="1">
        <f t="shared" si="32"/>
        <v>15</v>
      </c>
      <c r="AS50" s="1">
        <f t="shared" si="32"/>
        <v>15</v>
      </c>
      <c r="AT50" s="1">
        <f t="shared" si="32"/>
        <v>15</v>
      </c>
      <c r="AU50" s="1">
        <f t="shared" si="32"/>
        <v>15</v>
      </c>
      <c r="AV50" s="1">
        <f t="shared" si="32"/>
        <v>15</v>
      </c>
      <c r="AW50" s="1">
        <f t="shared" si="32"/>
        <v>15</v>
      </c>
      <c r="AX50" s="1">
        <f t="shared" si="32"/>
        <v>15</v>
      </c>
      <c r="AY50" s="1">
        <f t="shared" si="32"/>
        <v>15</v>
      </c>
      <c r="AZ50" s="1">
        <f t="shared" si="32"/>
        <v>15</v>
      </c>
      <c r="BA50" s="1">
        <f t="shared" si="32"/>
        <v>15</v>
      </c>
      <c r="BB50" s="1">
        <f t="shared" si="32"/>
        <v>15</v>
      </c>
      <c r="BC50" s="1">
        <f t="shared" si="32"/>
        <v>15</v>
      </c>
      <c r="BD50" s="1">
        <f t="shared" si="32"/>
        <v>15</v>
      </c>
      <c r="BE50" s="1">
        <f t="shared" si="32"/>
        <v>15</v>
      </c>
      <c r="BF50" s="1">
        <f t="shared" si="32"/>
        <v>15</v>
      </c>
      <c r="BG50" s="1">
        <f t="shared" si="32"/>
        <v>15</v>
      </c>
      <c r="BH50" s="1">
        <f t="shared" si="32"/>
        <v>15</v>
      </c>
      <c r="BI50" s="1">
        <f t="shared" si="32"/>
        <v>15</v>
      </c>
      <c r="BJ50" s="1">
        <f t="shared" si="32"/>
        <v>15</v>
      </c>
    </row>
    <row r="51" spans="1:62" outlineLevel="1" x14ac:dyDescent="0.25">
      <c r="A51" s="18" t="s">
        <v>231</v>
      </c>
      <c r="B51" s="128">
        <f>H19</f>
        <v>15</v>
      </c>
      <c r="C51" s="1">
        <f t="shared" ref="C51:N51" si="33">C36*$H$19</f>
        <v>0</v>
      </c>
      <c r="D51" s="1">
        <f t="shared" si="33"/>
        <v>0</v>
      </c>
      <c r="E51" s="1">
        <f t="shared" si="33"/>
        <v>0</v>
      </c>
      <c r="F51" s="1">
        <f t="shared" si="33"/>
        <v>0</v>
      </c>
      <c r="G51" s="1">
        <f t="shared" si="33"/>
        <v>0</v>
      </c>
      <c r="H51" s="1">
        <f t="shared" si="33"/>
        <v>0</v>
      </c>
      <c r="I51" s="1">
        <f t="shared" si="33"/>
        <v>0</v>
      </c>
      <c r="J51" s="1">
        <f t="shared" si="33"/>
        <v>0</v>
      </c>
      <c r="K51" s="1">
        <f t="shared" si="33"/>
        <v>0</v>
      </c>
      <c r="L51" s="1">
        <f t="shared" si="33"/>
        <v>0</v>
      </c>
      <c r="M51" s="1">
        <f t="shared" si="33"/>
        <v>15</v>
      </c>
      <c r="N51" s="1">
        <f t="shared" si="33"/>
        <v>15</v>
      </c>
      <c r="O51" s="1">
        <f t="shared" ref="O51:BJ51" si="34">O36*$H$19</f>
        <v>15</v>
      </c>
      <c r="P51" s="1">
        <f t="shared" si="34"/>
        <v>15</v>
      </c>
      <c r="Q51" s="1">
        <f t="shared" si="34"/>
        <v>15</v>
      </c>
      <c r="R51" s="1">
        <f t="shared" si="34"/>
        <v>15</v>
      </c>
      <c r="S51" s="1">
        <f t="shared" si="34"/>
        <v>15</v>
      </c>
      <c r="T51" s="1">
        <f t="shared" si="34"/>
        <v>15</v>
      </c>
      <c r="U51" s="1">
        <f t="shared" si="34"/>
        <v>15</v>
      </c>
      <c r="V51" s="1">
        <f t="shared" si="34"/>
        <v>15</v>
      </c>
      <c r="W51" s="1">
        <f t="shared" si="34"/>
        <v>15</v>
      </c>
      <c r="X51" s="1">
        <f t="shared" si="34"/>
        <v>15</v>
      </c>
      <c r="Y51" s="1">
        <f t="shared" si="34"/>
        <v>15</v>
      </c>
      <c r="Z51" s="1">
        <f t="shared" si="34"/>
        <v>15</v>
      </c>
      <c r="AA51" s="1">
        <f t="shared" si="34"/>
        <v>15</v>
      </c>
      <c r="AB51" s="1">
        <f t="shared" si="34"/>
        <v>15</v>
      </c>
      <c r="AC51" s="1">
        <f t="shared" si="34"/>
        <v>15</v>
      </c>
      <c r="AD51" s="1">
        <f t="shared" si="34"/>
        <v>15</v>
      </c>
      <c r="AE51" s="1">
        <f t="shared" si="34"/>
        <v>15</v>
      </c>
      <c r="AF51" s="1">
        <f t="shared" si="34"/>
        <v>15</v>
      </c>
      <c r="AG51" s="1">
        <f t="shared" si="34"/>
        <v>15</v>
      </c>
      <c r="AH51" s="1">
        <f t="shared" si="34"/>
        <v>15</v>
      </c>
      <c r="AI51" s="1">
        <f t="shared" si="34"/>
        <v>15</v>
      </c>
      <c r="AJ51" s="1">
        <f t="shared" si="34"/>
        <v>15</v>
      </c>
      <c r="AK51" s="1">
        <f t="shared" si="34"/>
        <v>15</v>
      </c>
      <c r="AL51" s="1">
        <f t="shared" si="34"/>
        <v>15</v>
      </c>
      <c r="AM51" s="1">
        <f t="shared" si="34"/>
        <v>15</v>
      </c>
      <c r="AN51" s="1">
        <f t="shared" si="34"/>
        <v>15</v>
      </c>
      <c r="AO51" s="1">
        <f t="shared" si="34"/>
        <v>15</v>
      </c>
      <c r="AP51" s="1">
        <f t="shared" si="34"/>
        <v>15</v>
      </c>
      <c r="AQ51" s="1">
        <f t="shared" si="34"/>
        <v>15</v>
      </c>
      <c r="AR51" s="1">
        <f t="shared" si="34"/>
        <v>15</v>
      </c>
      <c r="AS51" s="1">
        <f t="shared" si="34"/>
        <v>15</v>
      </c>
      <c r="AT51" s="1">
        <f t="shared" si="34"/>
        <v>15</v>
      </c>
      <c r="AU51" s="1">
        <f t="shared" si="34"/>
        <v>15</v>
      </c>
      <c r="AV51" s="1">
        <f t="shared" si="34"/>
        <v>15</v>
      </c>
      <c r="AW51" s="1">
        <f t="shared" si="34"/>
        <v>15</v>
      </c>
      <c r="AX51" s="1">
        <f t="shared" si="34"/>
        <v>15</v>
      </c>
      <c r="AY51" s="1">
        <f t="shared" si="34"/>
        <v>15</v>
      </c>
      <c r="AZ51" s="1">
        <f t="shared" si="34"/>
        <v>15</v>
      </c>
      <c r="BA51" s="1">
        <f t="shared" si="34"/>
        <v>15</v>
      </c>
      <c r="BB51" s="1">
        <f t="shared" si="34"/>
        <v>15</v>
      </c>
      <c r="BC51" s="1">
        <f t="shared" si="34"/>
        <v>15</v>
      </c>
      <c r="BD51" s="1">
        <f t="shared" si="34"/>
        <v>15</v>
      </c>
      <c r="BE51" s="1">
        <f t="shared" si="34"/>
        <v>15</v>
      </c>
      <c r="BF51" s="1">
        <f t="shared" si="34"/>
        <v>15</v>
      </c>
      <c r="BG51" s="1">
        <f t="shared" si="34"/>
        <v>15</v>
      </c>
      <c r="BH51" s="1">
        <f t="shared" si="34"/>
        <v>15</v>
      </c>
      <c r="BI51" s="1">
        <f t="shared" si="34"/>
        <v>15</v>
      </c>
      <c r="BJ51" s="1">
        <f t="shared" si="34"/>
        <v>15</v>
      </c>
    </row>
    <row r="52" spans="1:62" outlineLevel="1" x14ac:dyDescent="0.25">
      <c r="A52" s="18" t="s">
        <v>231</v>
      </c>
      <c r="B52" s="128">
        <f>H19</f>
        <v>15</v>
      </c>
      <c r="C52" s="1">
        <f t="shared" ref="C52:N52" si="35">C37*$H$19</f>
        <v>0</v>
      </c>
      <c r="D52" s="1">
        <f t="shared" si="35"/>
        <v>0</v>
      </c>
      <c r="E52" s="1">
        <f t="shared" si="35"/>
        <v>0</v>
      </c>
      <c r="F52" s="1">
        <f t="shared" si="35"/>
        <v>0</v>
      </c>
      <c r="G52" s="1">
        <f t="shared" si="35"/>
        <v>0</v>
      </c>
      <c r="H52" s="1">
        <f t="shared" si="35"/>
        <v>0</v>
      </c>
      <c r="I52" s="1">
        <f t="shared" si="35"/>
        <v>0</v>
      </c>
      <c r="J52" s="1">
        <f t="shared" si="35"/>
        <v>0</v>
      </c>
      <c r="K52" s="1">
        <f t="shared" si="35"/>
        <v>0</v>
      </c>
      <c r="L52" s="1">
        <f t="shared" si="35"/>
        <v>0</v>
      </c>
      <c r="M52" s="1">
        <f t="shared" si="35"/>
        <v>0</v>
      </c>
      <c r="N52" s="1">
        <f t="shared" si="35"/>
        <v>15</v>
      </c>
      <c r="O52" s="1">
        <f t="shared" ref="O52:BJ52" si="36">O37*$H$19</f>
        <v>15</v>
      </c>
      <c r="P52" s="1">
        <f t="shared" si="36"/>
        <v>15</v>
      </c>
      <c r="Q52" s="1">
        <f t="shared" si="36"/>
        <v>15</v>
      </c>
      <c r="R52" s="1">
        <f t="shared" si="36"/>
        <v>15</v>
      </c>
      <c r="S52" s="1">
        <f t="shared" si="36"/>
        <v>15</v>
      </c>
      <c r="T52" s="1">
        <f t="shared" si="36"/>
        <v>15</v>
      </c>
      <c r="U52" s="1">
        <f t="shared" si="36"/>
        <v>15</v>
      </c>
      <c r="V52" s="1">
        <f t="shared" si="36"/>
        <v>15</v>
      </c>
      <c r="W52" s="1">
        <f t="shared" si="36"/>
        <v>15</v>
      </c>
      <c r="X52" s="1">
        <f t="shared" si="36"/>
        <v>15</v>
      </c>
      <c r="Y52" s="1">
        <f t="shared" si="36"/>
        <v>15</v>
      </c>
      <c r="Z52" s="1">
        <f t="shared" si="36"/>
        <v>15</v>
      </c>
      <c r="AA52" s="1">
        <f t="shared" si="36"/>
        <v>15</v>
      </c>
      <c r="AB52" s="1">
        <f t="shared" si="36"/>
        <v>15</v>
      </c>
      <c r="AC52" s="1">
        <f t="shared" si="36"/>
        <v>15</v>
      </c>
      <c r="AD52" s="1">
        <f t="shared" si="36"/>
        <v>15</v>
      </c>
      <c r="AE52" s="1">
        <f t="shared" si="36"/>
        <v>15</v>
      </c>
      <c r="AF52" s="1">
        <f t="shared" si="36"/>
        <v>15</v>
      </c>
      <c r="AG52" s="1">
        <f t="shared" si="36"/>
        <v>15</v>
      </c>
      <c r="AH52" s="1">
        <f t="shared" si="36"/>
        <v>15</v>
      </c>
      <c r="AI52" s="1">
        <f t="shared" si="36"/>
        <v>15</v>
      </c>
      <c r="AJ52" s="1">
        <f t="shared" si="36"/>
        <v>15</v>
      </c>
      <c r="AK52" s="1">
        <f t="shared" si="36"/>
        <v>15</v>
      </c>
      <c r="AL52" s="1">
        <f t="shared" si="36"/>
        <v>15</v>
      </c>
      <c r="AM52" s="1">
        <f t="shared" si="36"/>
        <v>15</v>
      </c>
      <c r="AN52" s="1">
        <f t="shared" si="36"/>
        <v>15</v>
      </c>
      <c r="AO52" s="1">
        <f t="shared" si="36"/>
        <v>15</v>
      </c>
      <c r="AP52" s="1">
        <f t="shared" si="36"/>
        <v>15</v>
      </c>
      <c r="AQ52" s="1">
        <f t="shared" si="36"/>
        <v>15</v>
      </c>
      <c r="AR52" s="1">
        <f t="shared" si="36"/>
        <v>15</v>
      </c>
      <c r="AS52" s="1">
        <f t="shared" si="36"/>
        <v>15</v>
      </c>
      <c r="AT52" s="1">
        <f t="shared" si="36"/>
        <v>15</v>
      </c>
      <c r="AU52" s="1">
        <f t="shared" si="36"/>
        <v>15</v>
      </c>
      <c r="AV52" s="1">
        <f t="shared" si="36"/>
        <v>15</v>
      </c>
      <c r="AW52" s="1">
        <f t="shared" si="36"/>
        <v>15</v>
      </c>
      <c r="AX52" s="1">
        <f t="shared" si="36"/>
        <v>15</v>
      </c>
      <c r="AY52" s="1">
        <f t="shared" si="36"/>
        <v>15</v>
      </c>
      <c r="AZ52" s="1">
        <f t="shared" si="36"/>
        <v>15</v>
      </c>
      <c r="BA52" s="1">
        <f t="shared" si="36"/>
        <v>15</v>
      </c>
      <c r="BB52" s="1">
        <f t="shared" si="36"/>
        <v>15</v>
      </c>
      <c r="BC52" s="1">
        <f t="shared" si="36"/>
        <v>15</v>
      </c>
      <c r="BD52" s="1">
        <f t="shared" si="36"/>
        <v>15</v>
      </c>
      <c r="BE52" s="1">
        <f t="shared" si="36"/>
        <v>15</v>
      </c>
      <c r="BF52" s="1">
        <f t="shared" si="36"/>
        <v>15</v>
      </c>
      <c r="BG52" s="1">
        <f t="shared" si="36"/>
        <v>15</v>
      </c>
      <c r="BH52" s="1">
        <f t="shared" si="36"/>
        <v>15</v>
      </c>
      <c r="BI52" s="1">
        <f t="shared" si="36"/>
        <v>15</v>
      </c>
      <c r="BJ52" s="1">
        <f t="shared" si="36"/>
        <v>15</v>
      </c>
    </row>
    <row r="53" spans="1:62" ht="17" outlineLevel="1" thickBot="1" x14ac:dyDescent="0.3">
      <c r="A53" s="18" t="s">
        <v>231</v>
      </c>
      <c r="B53" s="128">
        <f>H19</f>
        <v>15</v>
      </c>
      <c r="C53" s="1">
        <f t="shared" ref="C53:N53" si="37">C38*$H$19</f>
        <v>0</v>
      </c>
      <c r="D53" s="1">
        <f t="shared" si="37"/>
        <v>0</v>
      </c>
      <c r="E53" s="1">
        <f t="shared" si="37"/>
        <v>0</v>
      </c>
      <c r="F53" s="1">
        <f t="shared" si="37"/>
        <v>0</v>
      </c>
      <c r="G53" s="1">
        <f t="shared" si="37"/>
        <v>0</v>
      </c>
      <c r="H53" s="1">
        <f t="shared" si="37"/>
        <v>0</v>
      </c>
      <c r="I53" s="1">
        <f t="shared" si="37"/>
        <v>0</v>
      </c>
      <c r="J53" s="1">
        <f t="shared" si="37"/>
        <v>0</v>
      </c>
      <c r="K53" s="1">
        <f t="shared" si="37"/>
        <v>0</v>
      </c>
      <c r="L53" s="1">
        <f t="shared" si="37"/>
        <v>0</v>
      </c>
      <c r="M53" s="1">
        <f t="shared" si="37"/>
        <v>0</v>
      </c>
      <c r="N53" s="1">
        <f t="shared" si="37"/>
        <v>15</v>
      </c>
      <c r="O53" s="1">
        <f t="shared" ref="O53:BJ53" si="38">O38*$H$19</f>
        <v>15</v>
      </c>
      <c r="P53" s="1">
        <f t="shared" si="38"/>
        <v>15</v>
      </c>
      <c r="Q53" s="1">
        <f t="shared" si="38"/>
        <v>15</v>
      </c>
      <c r="R53" s="1">
        <f t="shared" si="38"/>
        <v>15</v>
      </c>
      <c r="S53" s="1">
        <f t="shared" si="38"/>
        <v>15</v>
      </c>
      <c r="T53" s="1">
        <f t="shared" si="38"/>
        <v>15</v>
      </c>
      <c r="U53" s="1">
        <f t="shared" si="38"/>
        <v>15</v>
      </c>
      <c r="V53" s="1">
        <f t="shared" si="38"/>
        <v>15</v>
      </c>
      <c r="W53" s="1">
        <f t="shared" si="38"/>
        <v>15</v>
      </c>
      <c r="X53" s="1">
        <f t="shared" si="38"/>
        <v>15</v>
      </c>
      <c r="Y53" s="1">
        <f t="shared" si="38"/>
        <v>15</v>
      </c>
      <c r="Z53" s="1">
        <f t="shared" si="38"/>
        <v>15</v>
      </c>
      <c r="AA53" s="1">
        <f t="shared" si="38"/>
        <v>15</v>
      </c>
      <c r="AB53" s="1">
        <f t="shared" si="38"/>
        <v>15</v>
      </c>
      <c r="AC53" s="1">
        <f t="shared" si="38"/>
        <v>15</v>
      </c>
      <c r="AD53" s="1">
        <f t="shared" si="38"/>
        <v>15</v>
      </c>
      <c r="AE53" s="1">
        <f t="shared" si="38"/>
        <v>15</v>
      </c>
      <c r="AF53" s="1">
        <f t="shared" si="38"/>
        <v>15</v>
      </c>
      <c r="AG53" s="1">
        <f t="shared" si="38"/>
        <v>15</v>
      </c>
      <c r="AH53" s="1">
        <f t="shared" si="38"/>
        <v>15</v>
      </c>
      <c r="AI53" s="1">
        <f t="shared" si="38"/>
        <v>15</v>
      </c>
      <c r="AJ53" s="1">
        <f t="shared" si="38"/>
        <v>15</v>
      </c>
      <c r="AK53" s="1">
        <f t="shared" si="38"/>
        <v>15</v>
      </c>
      <c r="AL53" s="1">
        <f t="shared" si="38"/>
        <v>15</v>
      </c>
      <c r="AM53" s="1">
        <f t="shared" si="38"/>
        <v>15</v>
      </c>
      <c r="AN53" s="1">
        <f t="shared" si="38"/>
        <v>15</v>
      </c>
      <c r="AO53" s="1">
        <f t="shared" si="38"/>
        <v>15</v>
      </c>
      <c r="AP53" s="1">
        <f t="shared" si="38"/>
        <v>15</v>
      </c>
      <c r="AQ53" s="1">
        <f t="shared" si="38"/>
        <v>15</v>
      </c>
      <c r="AR53" s="1">
        <f t="shared" si="38"/>
        <v>15</v>
      </c>
      <c r="AS53" s="1">
        <f t="shared" si="38"/>
        <v>15</v>
      </c>
      <c r="AT53" s="1">
        <f t="shared" si="38"/>
        <v>15</v>
      </c>
      <c r="AU53" s="1">
        <f t="shared" si="38"/>
        <v>15</v>
      </c>
      <c r="AV53" s="1">
        <f t="shared" si="38"/>
        <v>15</v>
      </c>
      <c r="AW53" s="1">
        <f t="shared" si="38"/>
        <v>15</v>
      </c>
      <c r="AX53" s="1">
        <f t="shared" si="38"/>
        <v>15</v>
      </c>
      <c r="AY53" s="1">
        <f t="shared" si="38"/>
        <v>15</v>
      </c>
      <c r="AZ53" s="1">
        <f t="shared" si="38"/>
        <v>15</v>
      </c>
      <c r="BA53" s="1">
        <f t="shared" si="38"/>
        <v>15</v>
      </c>
      <c r="BB53" s="1">
        <f t="shared" si="38"/>
        <v>15</v>
      </c>
      <c r="BC53" s="1">
        <f t="shared" si="38"/>
        <v>15</v>
      </c>
      <c r="BD53" s="1">
        <f t="shared" si="38"/>
        <v>15</v>
      </c>
      <c r="BE53" s="1">
        <f t="shared" si="38"/>
        <v>15</v>
      </c>
      <c r="BF53" s="1">
        <f t="shared" si="38"/>
        <v>15</v>
      </c>
      <c r="BG53" s="1">
        <f t="shared" si="38"/>
        <v>15</v>
      </c>
      <c r="BH53" s="1">
        <f t="shared" si="38"/>
        <v>15</v>
      </c>
      <c r="BI53" s="1">
        <f t="shared" si="38"/>
        <v>15</v>
      </c>
      <c r="BJ53" s="1">
        <f t="shared" si="38"/>
        <v>15</v>
      </c>
    </row>
    <row r="54" spans="1:62" x14ac:dyDescent="0.25">
      <c r="A54" s="113" t="s">
        <v>234</v>
      </c>
      <c r="B54" s="113"/>
      <c r="C54" s="113">
        <f>SUM(C42:C53)</f>
        <v>3.5</v>
      </c>
      <c r="D54" s="113">
        <f t="shared" ref="D54:N54" si="39">SUM(D42:D53)</f>
        <v>3.5</v>
      </c>
      <c r="E54" s="113">
        <f t="shared" si="39"/>
        <v>3.5</v>
      </c>
      <c r="F54" s="113">
        <f t="shared" si="39"/>
        <v>7</v>
      </c>
      <c r="G54" s="113">
        <f t="shared" si="39"/>
        <v>7</v>
      </c>
      <c r="H54" s="113">
        <f t="shared" si="39"/>
        <v>7</v>
      </c>
      <c r="I54" s="113">
        <f t="shared" si="39"/>
        <v>7</v>
      </c>
      <c r="J54" s="113">
        <f t="shared" si="39"/>
        <v>14</v>
      </c>
      <c r="K54" s="113">
        <f t="shared" si="39"/>
        <v>29</v>
      </c>
      <c r="L54" s="113">
        <f t="shared" si="39"/>
        <v>69</v>
      </c>
      <c r="M54" s="113">
        <f t="shared" si="39"/>
        <v>104</v>
      </c>
      <c r="N54" s="113">
        <f t="shared" si="39"/>
        <v>134</v>
      </c>
      <c r="O54" s="113">
        <f t="shared" ref="O54:BJ54" si="40">SUM(O42:O53)</f>
        <v>134</v>
      </c>
      <c r="P54" s="113">
        <f t="shared" si="40"/>
        <v>134</v>
      </c>
      <c r="Q54" s="113">
        <f t="shared" si="40"/>
        <v>134</v>
      </c>
      <c r="R54" s="113">
        <f t="shared" si="40"/>
        <v>134</v>
      </c>
      <c r="S54" s="113">
        <f t="shared" si="40"/>
        <v>134</v>
      </c>
      <c r="T54" s="113">
        <f t="shared" si="40"/>
        <v>134</v>
      </c>
      <c r="U54" s="113">
        <f t="shared" si="40"/>
        <v>134</v>
      </c>
      <c r="V54" s="113">
        <f t="shared" si="40"/>
        <v>134</v>
      </c>
      <c r="W54" s="113">
        <f t="shared" si="40"/>
        <v>134</v>
      </c>
      <c r="X54" s="113">
        <f t="shared" si="40"/>
        <v>134</v>
      </c>
      <c r="Y54" s="113">
        <f t="shared" si="40"/>
        <v>134</v>
      </c>
      <c r="Z54" s="113">
        <f t="shared" si="40"/>
        <v>134</v>
      </c>
      <c r="AA54" s="113">
        <f t="shared" si="40"/>
        <v>134</v>
      </c>
      <c r="AB54" s="113">
        <f t="shared" si="40"/>
        <v>134</v>
      </c>
      <c r="AC54" s="113">
        <f t="shared" si="40"/>
        <v>134</v>
      </c>
      <c r="AD54" s="113">
        <f t="shared" si="40"/>
        <v>134</v>
      </c>
      <c r="AE54" s="113">
        <f t="shared" si="40"/>
        <v>134</v>
      </c>
      <c r="AF54" s="113">
        <f t="shared" si="40"/>
        <v>134</v>
      </c>
      <c r="AG54" s="113">
        <f t="shared" si="40"/>
        <v>134</v>
      </c>
      <c r="AH54" s="113">
        <f t="shared" si="40"/>
        <v>134</v>
      </c>
      <c r="AI54" s="113">
        <f t="shared" si="40"/>
        <v>134</v>
      </c>
      <c r="AJ54" s="113">
        <f t="shared" si="40"/>
        <v>134</v>
      </c>
      <c r="AK54" s="113">
        <f t="shared" si="40"/>
        <v>134</v>
      </c>
      <c r="AL54" s="113">
        <f t="shared" si="40"/>
        <v>134</v>
      </c>
      <c r="AM54" s="113">
        <f t="shared" si="40"/>
        <v>134</v>
      </c>
      <c r="AN54" s="113">
        <f t="shared" si="40"/>
        <v>134</v>
      </c>
      <c r="AO54" s="113">
        <f t="shared" si="40"/>
        <v>134</v>
      </c>
      <c r="AP54" s="113">
        <f t="shared" si="40"/>
        <v>134</v>
      </c>
      <c r="AQ54" s="113">
        <f t="shared" si="40"/>
        <v>134</v>
      </c>
      <c r="AR54" s="113">
        <f t="shared" si="40"/>
        <v>134</v>
      </c>
      <c r="AS54" s="113">
        <f t="shared" si="40"/>
        <v>134</v>
      </c>
      <c r="AT54" s="113">
        <f t="shared" si="40"/>
        <v>134</v>
      </c>
      <c r="AU54" s="113">
        <f t="shared" si="40"/>
        <v>134</v>
      </c>
      <c r="AV54" s="113">
        <f t="shared" si="40"/>
        <v>134</v>
      </c>
      <c r="AW54" s="113">
        <f t="shared" si="40"/>
        <v>134</v>
      </c>
      <c r="AX54" s="113">
        <f t="shared" si="40"/>
        <v>134</v>
      </c>
      <c r="AY54" s="113">
        <f t="shared" si="40"/>
        <v>134</v>
      </c>
      <c r="AZ54" s="113">
        <f t="shared" si="40"/>
        <v>134</v>
      </c>
      <c r="BA54" s="113">
        <f t="shared" si="40"/>
        <v>134</v>
      </c>
      <c r="BB54" s="113">
        <f t="shared" si="40"/>
        <v>134</v>
      </c>
      <c r="BC54" s="113">
        <f t="shared" si="40"/>
        <v>134</v>
      </c>
      <c r="BD54" s="113">
        <f t="shared" si="40"/>
        <v>134</v>
      </c>
      <c r="BE54" s="113">
        <f t="shared" si="40"/>
        <v>134</v>
      </c>
      <c r="BF54" s="113">
        <f t="shared" si="40"/>
        <v>134</v>
      </c>
      <c r="BG54" s="113">
        <f t="shared" si="40"/>
        <v>134</v>
      </c>
      <c r="BH54" s="113">
        <f t="shared" si="40"/>
        <v>134</v>
      </c>
      <c r="BI54" s="113">
        <f t="shared" si="40"/>
        <v>134</v>
      </c>
      <c r="BJ54" s="113">
        <f t="shared" si="40"/>
        <v>134</v>
      </c>
    </row>
    <row r="56" spans="1:62" ht="34" x14ac:dyDescent="0.25">
      <c r="A56" s="23" t="s">
        <v>405</v>
      </c>
      <c r="B56" s="24" t="s">
        <v>226</v>
      </c>
      <c r="C56" s="24">
        <v>43831</v>
      </c>
      <c r="D56" s="24">
        <v>43862</v>
      </c>
      <c r="E56" s="24">
        <v>43891</v>
      </c>
      <c r="F56" s="24">
        <v>43922</v>
      </c>
      <c r="G56" s="24">
        <v>43952</v>
      </c>
      <c r="H56" s="24">
        <v>43983</v>
      </c>
      <c r="I56" s="24">
        <v>44013</v>
      </c>
      <c r="J56" s="24">
        <v>44044</v>
      </c>
      <c r="K56" s="24">
        <v>44075</v>
      </c>
      <c r="L56" s="24">
        <v>44105</v>
      </c>
      <c r="M56" s="24">
        <v>44136</v>
      </c>
      <c r="N56" s="24">
        <v>44166</v>
      </c>
      <c r="O56" s="24">
        <v>44197</v>
      </c>
      <c r="P56" s="24">
        <v>44228</v>
      </c>
      <c r="Q56" s="24">
        <v>44256</v>
      </c>
      <c r="R56" s="24">
        <v>44287</v>
      </c>
      <c r="S56" s="24">
        <v>44317</v>
      </c>
      <c r="T56" s="24">
        <v>44348</v>
      </c>
      <c r="U56" s="24">
        <v>44378</v>
      </c>
      <c r="V56" s="24">
        <v>44409</v>
      </c>
      <c r="W56" s="24">
        <v>44440</v>
      </c>
      <c r="X56" s="24">
        <v>44470</v>
      </c>
      <c r="Y56" s="24">
        <v>44501</v>
      </c>
      <c r="Z56" s="24">
        <v>44531</v>
      </c>
      <c r="AA56" s="24">
        <v>44562</v>
      </c>
      <c r="AB56" s="24">
        <v>44593</v>
      </c>
      <c r="AC56" s="24">
        <v>44621</v>
      </c>
      <c r="AD56" s="24">
        <v>44652</v>
      </c>
      <c r="AE56" s="24">
        <v>44682</v>
      </c>
      <c r="AF56" s="24">
        <v>44713</v>
      </c>
      <c r="AG56" s="24">
        <v>44743</v>
      </c>
      <c r="AH56" s="24">
        <v>44774</v>
      </c>
      <c r="AI56" s="24">
        <v>44805</v>
      </c>
      <c r="AJ56" s="24">
        <v>44835</v>
      </c>
      <c r="AK56" s="24">
        <v>44866</v>
      </c>
      <c r="AL56" s="24">
        <v>44896</v>
      </c>
      <c r="AM56" s="24">
        <v>44927</v>
      </c>
      <c r="AN56" s="24">
        <v>44958</v>
      </c>
      <c r="AO56" s="24">
        <v>44986</v>
      </c>
      <c r="AP56" s="24">
        <v>45017</v>
      </c>
      <c r="AQ56" s="24">
        <v>45047</v>
      </c>
      <c r="AR56" s="24">
        <v>45078</v>
      </c>
      <c r="AS56" s="24">
        <v>45108</v>
      </c>
      <c r="AT56" s="24">
        <v>45139</v>
      </c>
      <c r="AU56" s="24">
        <v>45170</v>
      </c>
      <c r="AV56" s="24">
        <v>45200</v>
      </c>
      <c r="AW56" s="24">
        <v>45231</v>
      </c>
      <c r="AX56" s="24">
        <v>45261</v>
      </c>
      <c r="AY56" s="24">
        <v>45292</v>
      </c>
      <c r="AZ56" s="24">
        <v>45323</v>
      </c>
      <c r="BA56" s="24">
        <v>45352</v>
      </c>
      <c r="BB56" s="24">
        <v>45383</v>
      </c>
      <c r="BC56" s="24">
        <v>45413</v>
      </c>
      <c r="BD56" s="24">
        <v>45444</v>
      </c>
      <c r="BE56" s="24">
        <v>45474</v>
      </c>
      <c r="BF56" s="24">
        <v>45505</v>
      </c>
      <c r="BG56" s="24">
        <v>45536</v>
      </c>
      <c r="BH56" s="24">
        <v>45566</v>
      </c>
      <c r="BI56" s="24">
        <v>45597</v>
      </c>
      <c r="BJ56" s="24">
        <v>45627</v>
      </c>
    </row>
    <row r="57" spans="1:62" outlineLevel="1" x14ac:dyDescent="0.25">
      <c r="A57" s="18" t="s">
        <v>178</v>
      </c>
      <c r="B57" s="125">
        <f>I17</f>
        <v>0.2</v>
      </c>
      <c r="C57" s="117">
        <f>C42*$B$57</f>
        <v>0.70000000000000007</v>
      </c>
      <c r="D57" s="117">
        <f t="shared" ref="D57:M57" si="41">D42*$B$57</f>
        <v>0.70000000000000007</v>
      </c>
      <c r="E57" s="117">
        <f t="shared" si="41"/>
        <v>0.70000000000000007</v>
      </c>
      <c r="F57" s="117">
        <f t="shared" si="41"/>
        <v>0.70000000000000007</v>
      </c>
      <c r="G57" s="117">
        <f t="shared" si="41"/>
        <v>0.70000000000000007</v>
      </c>
      <c r="H57" s="117">
        <f t="shared" si="41"/>
        <v>0.70000000000000007</v>
      </c>
      <c r="I57" s="117">
        <f t="shared" si="41"/>
        <v>0.70000000000000007</v>
      </c>
      <c r="J57" s="117">
        <f t="shared" si="41"/>
        <v>0.70000000000000007</v>
      </c>
      <c r="K57" s="117">
        <f t="shared" si="41"/>
        <v>0.70000000000000007</v>
      </c>
      <c r="L57" s="117">
        <f t="shared" si="41"/>
        <v>0.70000000000000007</v>
      </c>
      <c r="M57" s="117">
        <f t="shared" si="41"/>
        <v>0.70000000000000007</v>
      </c>
      <c r="N57" s="117">
        <f>N42*$B$57</f>
        <v>0.70000000000000007</v>
      </c>
      <c r="O57" s="117">
        <f t="shared" ref="O57:BJ57" si="42">O42*$B$57</f>
        <v>0.70000000000000007</v>
      </c>
      <c r="P57" s="117">
        <f t="shared" si="42"/>
        <v>0.70000000000000007</v>
      </c>
      <c r="Q57" s="117">
        <f t="shared" si="42"/>
        <v>0.70000000000000007</v>
      </c>
      <c r="R57" s="117">
        <f t="shared" si="42"/>
        <v>0.70000000000000007</v>
      </c>
      <c r="S57" s="117">
        <f t="shared" si="42"/>
        <v>0.70000000000000007</v>
      </c>
      <c r="T57" s="117">
        <f t="shared" si="42"/>
        <v>0.70000000000000007</v>
      </c>
      <c r="U57" s="117">
        <f t="shared" si="42"/>
        <v>0.70000000000000007</v>
      </c>
      <c r="V57" s="117">
        <f t="shared" si="42"/>
        <v>0.70000000000000007</v>
      </c>
      <c r="W57" s="117">
        <f t="shared" si="42"/>
        <v>0.70000000000000007</v>
      </c>
      <c r="X57" s="117">
        <f t="shared" si="42"/>
        <v>0.70000000000000007</v>
      </c>
      <c r="Y57" s="117">
        <f t="shared" si="42"/>
        <v>0.70000000000000007</v>
      </c>
      <c r="Z57" s="117">
        <f t="shared" si="42"/>
        <v>0.70000000000000007</v>
      </c>
      <c r="AA57" s="117">
        <f t="shared" si="42"/>
        <v>0.70000000000000007</v>
      </c>
      <c r="AB57" s="117">
        <f t="shared" si="42"/>
        <v>0.70000000000000007</v>
      </c>
      <c r="AC57" s="117">
        <f t="shared" si="42"/>
        <v>0.70000000000000007</v>
      </c>
      <c r="AD57" s="117">
        <f t="shared" si="42"/>
        <v>0.70000000000000007</v>
      </c>
      <c r="AE57" s="117">
        <f t="shared" si="42"/>
        <v>0.70000000000000007</v>
      </c>
      <c r="AF57" s="117">
        <f t="shared" si="42"/>
        <v>0.70000000000000007</v>
      </c>
      <c r="AG57" s="117">
        <f t="shared" si="42"/>
        <v>0.70000000000000007</v>
      </c>
      <c r="AH57" s="117">
        <f t="shared" si="42"/>
        <v>0.70000000000000007</v>
      </c>
      <c r="AI57" s="117">
        <f t="shared" si="42"/>
        <v>0.70000000000000007</v>
      </c>
      <c r="AJ57" s="117">
        <f t="shared" si="42"/>
        <v>0.70000000000000007</v>
      </c>
      <c r="AK57" s="117">
        <f t="shared" si="42"/>
        <v>0.70000000000000007</v>
      </c>
      <c r="AL57" s="117">
        <f t="shared" si="42"/>
        <v>0.70000000000000007</v>
      </c>
      <c r="AM57" s="117">
        <f t="shared" si="42"/>
        <v>0.70000000000000007</v>
      </c>
      <c r="AN57" s="117">
        <f t="shared" si="42"/>
        <v>0.70000000000000007</v>
      </c>
      <c r="AO57" s="117">
        <f t="shared" si="42"/>
        <v>0.70000000000000007</v>
      </c>
      <c r="AP57" s="117">
        <f t="shared" si="42"/>
        <v>0.70000000000000007</v>
      </c>
      <c r="AQ57" s="117">
        <f t="shared" si="42"/>
        <v>0.70000000000000007</v>
      </c>
      <c r="AR57" s="117">
        <f t="shared" si="42"/>
        <v>0.70000000000000007</v>
      </c>
      <c r="AS57" s="117">
        <f t="shared" si="42"/>
        <v>0.70000000000000007</v>
      </c>
      <c r="AT57" s="117">
        <f t="shared" si="42"/>
        <v>0.70000000000000007</v>
      </c>
      <c r="AU57" s="117">
        <f t="shared" si="42"/>
        <v>0.70000000000000007</v>
      </c>
      <c r="AV57" s="117">
        <f t="shared" si="42"/>
        <v>0.70000000000000007</v>
      </c>
      <c r="AW57" s="117">
        <f t="shared" si="42"/>
        <v>0.70000000000000007</v>
      </c>
      <c r="AX57" s="117">
        <f t="shared" si="42"/>
        <v>0.70000000000000007</v>
      </c>
      <c r="AY57" s="117">
        <f t="shared" si="42"/>
        <v>0.70000000000000007</v>
      </c>
      <c r="AZ57" s="117">
        <f t="shared" si="42"/>
        <v>0.70000000000000007</v>
      </c>
      <c r="BA57" s="117">
        <f t="shared" si="42"/>
        <v>0.70000000000000007</v>
      </c>
      <c r="BB57" s="117">
        <f t="shared" si="42"/>
        <v>0.70000000000000007</v>
      </c>
      <c r="BC57" s="117">
        <f t="shared" si="42"/>
        <v>0.70000000000000007</v>
      </c>
      <c r="BD57" s="117">
        <f t="shared" si="42"/>
        <v>0.70000000000000007</v>
      </c>
      <c r="BE57" s="117">
        <f t="shared" si="42"/>
        <v>0.70000000000000007</v>
      </c>
      <c r="BF57" s="117">
        <f t="shared" si="42"/>
        <v>0.70000000000000007</v>
      </c>
      <c r="BG57" s="117">
        <f t="shared" si="42"/>
        <v>0.70000000000000007</v>
      </c>
      <c r="BH57" s="117">
        <f t="shared" si="42"/>
        <v>0.70000000000000007</v>
      </c>
      <c r="BI57" s="117">
        <f t="shared" si="42"/>
        <v>0.70000000000000007</v>
      </c>
      <c r="BJ57" s="117">
        <f t="shared" si="42"/>
        <v>0.70000000000000007</v>
      </c>
    </row>
    <row r="58" spans="1:62" outlineLevel="1" x14ac:dyDescent="0.25">
      <c r="A58" s="18" t="s">
        <v>229</v>
      </c>
      <c r="B58" s="125">
        <f>I17</f>
        <v>0.2</v>
      </c>
      <c r="C58" s="117">
        <f>C43*$B$58</f>
        <v>0</v>
      </c>
      <c r="D58" s="117">
        <f t="shared" ref="D58:N58" si="43">D43*$B$58</f>
        <v>0</v>
      </c>
      <c r="E58" s="117">
        <f t="shared" si="43"/>
        <v>0</v>
      </c>
      <c r="F58" s="117">
        <f t="shared" si="43"/>
        <v>0.70000000000000007</v>
      </c>
      <c r="G58" s="117">
        <f t="shared" si="43"/>
        <v>0.70000000000000007</v>
      </c>
      <c r="H58" s="117">
        <f t="shared" si="43"/>
        <v>0.70000000000000007</v>
      </c>
      <c r="I58" s="117">
        <f t="shared" si="43"/>
        <v>0.70000000000000007</v>
      </c>
      <c r="J58" s="117">
        <f t="shared" si="43"/>
        <v>0.70000000000000007</v>
      </c>
      <c r="K58" s="117">
        <f t="shared" si="43"/>
        <v>0.70000000000000007</v>
      </c>
      <c r="L58" s="117">
        <f t="shared" si="43"/>
        <v>0.70000000000000007</v>
      </c>
      <c r="M58" s="117">
        <f t="shared" si="43"/>
        <v>0.70000000000000007</v>
      </c>
      <c r="N58" s="117">
        <f t="shared" si="43"/>
        <v>0.70000000000000007</v>
      </c>
      <c r="O58" s="117">
        <f t="shared" ref="O58:BJ58" si="44">O43*$B$58</f>
        <v>0.70000000000000007</v>
      </c>
      <c r="P58" s="117">
        <f t="shared" si="44"/>
        <v>0.70000000000000007</v>
      </c>
      <c r="Q58" s="117">
        <f t="shared" si="44"/>
        <v>0.70000000000000007</v>
      </c>
      <c r="R58" s="117">
        <f t="shared" si="44"/>
        <v>0.70000000000000007</v>
      </c>
      <c r="S58" s="117">
        <f t="shared" si="44"/>
        <v>0.70000000000000007</v>
      </c>
      <c r="T58" s="117">
        <f t="shared" si="44"/>
        <v>0.70000000000000007</v>
      </c>
      <c r="U58" s="117">
        <f t="shared" si="44"/>
        <v>0.70000000000000007</v>
      </c>
      <c r="V58" s="117">
        <f t="shared" si="44"/>
        <v>0.70000000000000007</v>
      </c>
      <c r="W58" s="117">
        <f t="shared" si="44"/>
        <v>0.70000000000000007</v>
      </c>
      <c r="X58" s="117">
        <f t="shared" si="44"/>
        <v>0.70000000000000007</v>
      </c>
      <c r="Y58" s="117">
        <f t="shared" si="44"/>
        <v>0.70000000000000007</v>
      </c>
      <c r="Z58" s="117">
        <f t="shared" si="44"/>
        <v>0.70000000000000007</v>
      </c>
      <c r="AA58" s="117">
        <f t="shared" si="44"/>
        <v>0.70000000000000007</v>
      </c>
      <c r="AB58" s="117">
        <f t="shared" si="44"/>
        <v>0.70000000000000007</v>
      </c>
      <c r="AC58" s="117">
        <f t="shared" si="44"/>
        <v>0.70000000000000007</v>
      </c>
      <c r="AD58" s="117">
        <f t="shared" si="44"/>
        <v>0.70000000000000007</v>
      </c>
      <c r="AE58" s="117">
        <f t="shared" si="44"/>
        <v>0.70000000000000007</v>
      </c>
      <c r="AF58" s="117">
        <f t="shared" si="44"/>
        <v>0.70000000000000007</v>
      </c>
      <c r="AG58" s="117">
        <f t="shared" si="44"/>
        <v>0.70000000000000007</v>
      </c>
      <c r="AH58" s="117">
        <f t="shared" si="44"/>
        <v>0.70000000000000007</v>
      </c>
      <c r="AI58" s="117">
        <f t="shared" si="44"/>
        <v>0.70000000000000007</v>
      </c>
      <c r="AJ58" s="117">
        <f t="shared" si="44"/>
        <v>0.70000000000000007</v>
      </c>
      <c r="AK58" s="117">
        <f t="shared" si="44"/>
        <v>0.70000000000000007</v>
      </c>
      <c r="AL58" s="117">
        <f t="shared" si="44"/>
        <v>0.70000000000000007</v>
      </c>
      <c r="AM58" s="117">
        <f t="shared" si="44"/>
        <v>0.70000000000000007</v>
      </c>
      <c r="AN58" s="117">
        <f t="shared" si="44"/>
        <v>0.70000000000000007</v>
      </c>
      <c r="AO58" s="117">
        <f t="shared" si="44"/>
        <v>0.70000000000000007</v>
      </c>
      <c r="AP58" s="117">
        <f t="shared" si="44"/>
        <v>0.70000000000000007</v>
      </c>
      <c r="AQ58" s="117">
        <f t="shared" si="44"/>
        <v>0.70000000000000007</v>
      </c>
      <c r="AR58" s="117">
        <f t="shared" si="44"/>
        <v>0.70000000000000007</v>
      </c>
      <c r="AS58" s="117">
        <f t="shared" si="44"/>
        <v>0.70000000000000007</v>
      </c>
      <c r="AT58" s="117">
        <f t="shared" si="44"/>
        <v>0.70000000000000007</v>
      </c>
      <c r="AU58" s="117">
        <f t="shared" si="44"/>
        <v>0.70000000000000007</v>
      </c>
      <c r="AV58" s="117">
        <f t="shared" si="44"/>
        <v>0.70000000000000007</v>
      </c>
      <c r="AW58" s="117">
        <f t="shared" si="44"/>
        <v>0.70000000000000007</v>
      </c>
      <c r="AX58" s="117">
        <f t="shared" si="44"/>
        <v>0.70000000000000007</v>
      </c>
      <c r="AY58" s="117">
        <f t="shared" si="44"/>
        <v>0.70000000000000007</v>
      </c>
      <c r="AZ58" s="117">
        <f t="shared" si="44"/>
        <v>0.70000000000000007</v>
      </c>
      <c r="BA58" s="117">
        <f t="shared" si="44"/>
        <v>0.70000000000000007</v>
      </c>
      <c r="BB58" s="117">
        <f t="shared" si="44"/>
        <v>0.70000000000000007</v>
      </c>
      <c r="BC58" s="117">
        <f t="shared" si="44"/>
        <v>0.70000000000000007</v>
      </c>
      <c r="BD58" s="117">
        <f t="shared" si="44"/>
        <v>0.70000000000000007</v>
      </c>
      <c r="BE58" s="117">
        <f t="shared" si="44"/>
        <v>0.70000000000000007</v>
      </c>
      <c r="BF58" s="117">
        <f t="shared" si="44"/>
        <v>0.70000000000000007</v>
      </c>
      <c r="BG58" s="117">
        <f t="shared" si="44"/>
        <v>0.70000000000000007</v>
      </c>
      <c r="BH58" s="117">
        <f t="shared" si="44"/>
        <v>0.70000000000000007</v>
      </c>
      <c r="BI58" s="117">
        <f t="shared" si="44"/>
        <v>0.70000000000000007</v>
      </c>
      <c r="BJ58" s="117">
        <f t="shared" si="44"/>
        <v>0.70000000000000007</v>
      </c>
    </row>
    <row r="59" spans="1:62" outlineLevel="1" x14ac:dyDescent="0.25">
      <c r="A59" s="18" t="s">
        <v>227</v>
      </c>
      <c r="B59" s="125">
        <f>I17</f>
        <v>0.2</v>
      </c>
      <c r="C59" s="117">
        <f>C44*$B$59</f>
        <v>0</v>
      </c>
      <c r="D59" s="117">
        <f t="shared" ref="D59:N59" si="45">D44*$B$59</f>
        <v>0</v>
      </c>
      <c r="E59" s="117">
        <f t="shared" si="45"/>
        <v>0</v>
      </c>
      <c r="F59" s="117">
        <f t="shared" si="45"/>
        <v>0</v>
      </c>
      <c r="G59" s="117">
        <f t="shared" si="45"/>
        <v>0</v>
      </c>
      <c r="H59" s="117">
        <f t="shared" si="45"/>
        <v>0</v>
      </c>
      <c r="I59" s="117">
        <f t="shared" si="45"/>
        <v>0</v>
      </c>
      <c r="J59" s="117">
        <f t="shared" si="45"/>
        <v>1.4000000000000001</v>
      </c>
      <c r="K59" s="117">
        <f t="shared" si="45"/>
        <v>1.4000000000000001</v>
      </c>
      <c r="L59" s="117">
        <f t="shared" si="45"/>
        <v>1.4000000000000001</v>
      </c>
      <c r="M59" s="117">
        <f t="shared" si="45"/>
        <v>1.4000000000000001</v>
      </c>
      <c r="N59" s="117">
        <f t="shared" si="45"/>
        <v>1.4000000000000001</v>
      </c>
      <c r="O59" s="117">
        <f t="shared" ref="O59:BJ59" si="46">O44*$B$59</f>
        <v>1.4000000000000001</v>
      </c>
      <c r="P59" s="117">
        <f t="shared" si="46"/>
        <v>1.4000000000000001</v>
      </c>
      <c r="Q59" s="117">
        <f t="shared" si="46"/>
        <v>1.4000000000000001</v>
      </c>
      <c r="R59" s="117">
        <f t="shared" si="46"/>
        <v>1.4000000000000001</v>
      </c>
      <c r="S59" s="117">
        <f t="shared" si="46"/>
        <v>1.4000000000000001</v>
      </c>
      <c r="T59" s="117">
        <f t="shared" si="46"/>
        <v>1.4000000000000001</v>
      </c>
      <c r="U59" s="117">
        <f t="shared" si="46"/>
        <v>1.4000000000000001</v>
      </c>
      <c r="V59" s="117">
        <f t="shared" si="46"/>
        <v>1.4000000000000001</v>
      </c>
      <c r="W59" s="117">
        <f t="shared" si="46"/>
        <v>1.4000000000000001</v>
      </c>
      <c r="X59" s="117">
        <f t="shared" si="46"/>
        <v>1.4000000000000001</v>
      </c>
      <c r="Y59" s="117">
        <f t="shared" si="46"/>
        <v>1.4000000000000001</v>
      </c>
      <c r="Z59" s="117">
        <f t="shared" si="46"/>
        <v>1.4000000000000001</v>
      </c>
      <c r="AA59" s="117">
        <f t="shared" si="46"/>
        <v>1.4000000000000001</v>
      </c>
      <c r="AB59" s="117">
        <f t="shared" si="46"/>
        <v>1.4000000000000001</v>
      </c>
      <c r="AC59" s="117">
        <f t="shared" si="46"/>
        <v>1.4000000000000001</v>
      </c>
      <c r="AD59" s="117">
        <f t="shared" si="46"/>
        <v>1.4000000000000001</v>
      </c>
      <c r="AE59" s="117">
        <f t="shared" si="46"/>
        <v>1.4000000000000001</v>
      </c>
      <c r="AF59" s="117">
        <f t="shared" si="46"/>
        <v>1.4000000000000001</v>
      </c>
      <c r="AG59" s="117">
        <f t="shared" si="46"/>
        <v>1.4000000000000001</v>
      </c>
      <c r="AH59" s="117">
        <f t="shared" si="46"/>
        <v>1.4000000000000001</v>
      </c>
      <c r="AI59" s="117">
        <f t="shared" si="46"/>
        <v>1.4000000000000001</v>
      </c>
      <c r="AJ59" s="117">
        <f t="shared" si="46"/>
        <v>1.4000000000000001</v>
      </c>
      <c r="AK59" s="117">
        <f t="shared" si="46"/>
        <v>1.4000000000000001</v>
      </c>
      <c r="AL59" s="117">
        <f t="shared" si="46"/>
        <v>1.4000000000000001</v>
      </c>
      <c r="AM59" s="117">
        <f t="shared" si="46"/>
        <v>1.4000000000000001</v>
      </c>
      <c r="AN59" s="117">
        <f t="shared" si="46"/>
        <v>1.4000000000000001</v>
      </c>
      <c r="AO59" s="117">
        <f t="shared" si="46"/>
        <v>1.4000000000000001</v>
      </c>
      <c r="AP59" s="117">
        <f t="shared" si="46"/>
        <v>1.4000000000000001</v>
      </c>
      <c r="AQ59" s="117">
        <f t="shared" si="46"/>
        <v>1.4000000000000001</v>
      </c>
      <c r="AR59" s="117">
        <f t="shared" si="46"/>
        <v>1.4000000000000001</v>
      </c>
      <c r="AS59" s="117">
        <f t="shared" si="46"/>
        <v>1.4000000000000001</v>
      </c>
      <c r="AT59" s="117">
        <f t="shared" si="46"/>
        <v>1.4000000000000001</v>
      </c>
      <c r="AU59" s="117">
        <f t="shared" si="46"/>
        <v>1.4000000000000001</v>
      </c>
      <c r="AV59" s="117">
        <f t="shared" si="46"/>
        <v>1.4000000000000001</v>
      </c>
      <c r="AW59" s="117">
        <f t="shared" si="46"/>
        <v>1.4000000000000001</v>
      </c>
      <c r="AX59" s="117">
        <f t="shared" si="46"/>
        <v>1.4000000000000001</v>
      </c>
      <c r="AY59" s="117">
        <f t="shared" si="46"/>
        <v>1.4000000000000001</v>
      </c>
      <c r="AZ59" s="117">
        <f t="shared" si="46"/>
        <v>1.4000000000000001</v>
      </c>
      <c r="BA59" s="117">
        <f t="shared" si="46"/>
        <v>1.4000000000000001</v>
      </c>
      <c r="BB59" s="117">
        <f t="shared" si="46"/>
        <v>1.4000000000000001</v>
      </c>
      <c r="BC59" s="117">
        <f t="shared" si="46"/>
        <v>1.4000000000000001</v>
      </c>
      <c r="BD59" s="117">
        <f t="shared" si="46"/>
        <v>1.4000000000000001</v>
      </c>
      <c r="BE59" s="117">
        <f t="shared" si="46"/>
        <v>1.4000000000000001</v>
      </c>
      <c r="BF59" s="117">
        <f t="shared" si="46"/>
        <v>1.4000000000000001</v>
      </c>
      <c r="BG59" s="117">
        <f t="shared" si="46"/>
        <v>1.4000000000000001</v>
      </c>
      <c r="BH59" s="117">
        <f t="shared" si="46"/>
        <v>1.4000000000000001</v>
      </c>
      <c r="BI59" s="117">
        <f t="shared" si="46"/>
        <v>1.4000000000000001</v>
      </c>
      <c r="BJ59" s="117">
        <f t="shared" si="46"/>
        <v>1.4000000000000001</v>
      </c>
    </row>
    <row r="60" spans="1:62" outlineLevel="1" x14ac:dyDescent="0.25">
      <c r="A60" s="18" t="s">
        <v>230</v>
      </c>
      <c r="B60" s="125">
        <f>I18</f>
        <v>0.1</v>
      </c>
      <c r="C60" s="117">
        <f>C45*$B$60</f>
        <v>0</v>
      </c>
      <c r="D60" s="117">
        <f t="shared" ref="D60:N60" si="47">D45*$B$60</f>
        <v>0</v>
      </c>
      <c r="E60" s="117">
        <f t="shared" si="47"/>
        <v>0</v>
      </c>
      <c r="F60" s="117">
        <f t="shared" si="47"/>
        <v>0</v>
      </c>
      <c r="G60" s="117">
        <f t="shared" si="47"/>
        <v>0</v>
      </c>
      <c r="H60" s="117">
        <f t="shared" si="47"/>
        <v>0</v>
      </c>
      <c r="I60" s="117">
        <f t="shared" si="47"/>
        <v>0</v>
      </c>
      <c r="J60" s="117">
        <f t="shared" si="47"/>
        <v>0</v>
      </c>
      <c r="K60" s="117">
        <f t="shared" si="47"/>
        <v>0</v>
      </c>
      <c r="L60" s="117">
        <f t="shared" si="47"/>
        <v>1</v>
      </c>
      <c r="M60" s="117">
        <f t="shared" si="47"/>
        <v>1</v>
      </c>
      <c r="N60" s="117">
        <f t="shared" si="47"/>
        <v>1</v>
      </c>
      <c r="O60" s="117">
        <f t="shared" ref="O60:BJ60" si="48">O45*$B$60</f>
        <v>1</v>
      </c>
      <c r="P60" s="117">
        <f t="shared" si="48"/>
        <v>1</v>
      </c>
      <c r="Q60" s="117">
        <f t="shared" si="48"/>
        <v>1</v>
      </c>
      <c r="R60" s="117">
        <f t="shared" si="48"/>
        <v>1</v>
      </c>
      <c r="S60" s="117">
        <f t="shared" si="48"/>
        <v>1</v>
      </c>
      <c r="T60" s="117">
        <f t="shared" si="48"/>
        <v>1</v>
      </c>
      <c r="U60" s="117">
        <f t="shared" si="48"/>
        <v>1</v>
      </c>
      <c r="V60" s="117">
        <f t="shared" si="48"/>
        <v>1</v>
      </c>
      <c r="W60" s="117">
        <f t="shared" si="48"/>
        <v>1</v>
      </c>
      <c r="X60" s="117">
        <f t="shared" si="48"/>
        <v>1</v>
      </c>
      <c r="Y60" s="117">
        <f t="shared" si="48"/>
        <v>1</v>
      </c>
      <c r="Z60" s="117">
        <f t="shared" si="48"/>
        <v>1</v>
      </c>
      <c r="AA60" s="117">
        <f t="shared" si="48"/>
        <v>1</v>
      </c>
      <c r="AB60" s="117">
        <f t="shared" si="48"/>
        <v>1</v>
      </c>
      <c r="AC60" s="117">
        <f t="shared" si="48"/>
        <v>1</v>
      </c>
      <c r="AD60" s="117">
        <f t="shared" si="48"/>
        <v>1</v>
      </c>
      <c r="AE60" s="117">
        <f t="shared" si="48"/>
        <v>1</v>
      </c>
      <c r="AF60" s="117">
        <f t="shared" si="48"/>
        <v>1</v>
      </c>
      <c r="AG60" s="117">
        <f t="shared" si="48"/>
        <v>1</v>
      </c>
      <c r="AH60" s="117">
        <f t="shared" si="48"/>
        <v>1</v>
      </c>
      <c r="AI60" s="117">
        <f t="shared" si="48"/>
        <v>1</v>
      </c>
      <c r="AJ60" s="117">
        <f t="shared" si="48"/>
        <v>1</v>
      </c>
      <c r="AK60" s="117">
        <f t="shared" si="48"/>
        <v>1</v>
      </c>
      <c r="AL60" s="117">
        <f t="shared" si="48"/>
        <v>1</v>
      </c>
      <c r="AM60" s="117">
        <f t="shared" si="48"/>
        <v>1</v>
      </c>
      <c r="AN60" s="117">
        <f t="shared" si="48"/>
        <v>1</v>
      </c>
      <c r="AO60" s="117">
        <f t="shared" si="48"/>
        <v>1</v>
      </c>
      <c r="AP60" s="117">
        <f t="shared" si="48"/>
        <v>1</v>
      </c>
      <c r="AQ60" s="117">
        <f t="shared" si="48"/>
        <v>1</v>
      </c>
      <c r="AR60" s="117">
        <f t="shared" si="48"/>
        <v>1</v>
      </c>
      <c r="AS60" s="117">
        <f t="shared" si="48"/>
        <v>1</v>
      </c>
      <c r="AT60" s="117">
        <f t="shared" si="48"/>
        <v>1</v>
      </c>
      <c r="AU60" s="117">
        <f t="shared" si="48"/>
        <v>1</v>
      </c>
      <c r="AV60" s="117">
        <f t="shared" si="48"/>
        <v>1</v>
      </c>
      <c r="AW60" s="117">
        <f t="shared" si="48"/>
        <v>1</v>
      </c>
      <c r="AX60" s="117">
        <f t="shared" si="48"/>
        <v>1</v>
      </c>
      <c r="AY60" s="117">
        <f t="shared" si="48"/>
        <v>1</v>
      </c>
      <c r="AZ60" s="117">
        <f t="shared" si="48"/>
        <v>1</v>
      </c>
      <c r="BA60" s="117">
        <f t="shared" si="48"/>
        <v>1</v>
      </c>
      <c r="BB60" s="117">
        <f t="shared" si="48"/>
        <v>1</v>
      </c>
      <c r="BC60" s="117">
        <f t="shared" si="48"/>
        <v>1</v>
      </c>
      <c r="BD60" s="117">
        <f t="shared" si="48"/>
        <v>1</v>
      </c>
      <c r="BE60" s="117">
        <f t="shared" si="48"/>
        <v>1</v>
      </c>
      <c r="BF60" s="117">
        <f t="shared" si="48"/>
        <v>1</v>
      </c>
      <c r="BG60" s="117">
        <f t="shared" si="48"/>
        <v>1</v>
      </c>
      <c r="BH60" s="117">
        <f t="shared" si="48"/>
        <v>1</v>
      </c>
      <c r="BI60" s="117">
        <f t="shared" si="48"/>
        <v>1</v>
      </c>
      <c r="BJ60" s="117">
        <f t="shared" si="48"/>
        <v>1</v>
      </c>
    </row>
    <row r="61" spans="1:62" outlineLevel="1" x14ac:dyDescent="0.25">
      <c r="A61" s="18" t="s">
        <v>230</v>
      </c>
      <c r="B61" s="125">
        <f>I18</f>
        <v>0.1</v>
      </c>
      <c r="C61" s="117">
        <f>C46*$B$61</f>
        <v>0</v>
      </c>
      <c r="D61" s="117">
        <f t="shared" ref="D61:N61" si="49">D46*$B$61</f>
        <v>0</v>
      </c>
      <c r="E61" s="117">
        <f t="shared" si="49"/>
        <v>0</v>
      </c>
      <c r="F61" s="117">
        <f t="shared" si="49"/>
        <v>0</v>
      </c>
      <c r="G61" s="117">
        <f t="shared" si="49"/>
        <v>0</v>
      </c>
      <c r="H61" s="117">
        <f t="shared" si="49"/>
        <v>0</v>
      </c>
      <c r="I61" s="117">
        <f t="shared" si="49"/>
        <v>0</v>
      </c>
      <c r="J61" s="117">
        <f t="shared" si="49"/>
        <v>0</v>
      </c>
      <c r="K61" s="117">
        <f t="shared" si="49"/>
        <v>0</v>
      </c>
      <c r="L61" s="117">
        <f t="shared" si="49"/>
        <v>0</v>
      </c>
      <c r="M61" s="117">
        <f t="shared" si="49"/>
        <v>1</v>
      </c>
      <c r="N61" s="117">
        <f t="shared" si="49"/>
        <v>1</v>
      </c>
      <c r="O61" s="117">
        <f t="shared" ref="O61:BJ61" si="50">O46*$B$61</f>
        <v>1</v>
      </c>
      <c r="P61" s="117">
        <f t="shared" si="50"/>
        <v>1</v>
      </c>
      <c r="Q61" s="117">
        <f t="shared" si="50"/>
        <v>1</v>
      </c>
      <c r="R61" s="117">
        <f t="shared" si="50"/>
        <v>1</v>
      </c>
      <c r="S61" s="117">
        <f t="shared" si="50"/>
        <v>1</v>
      </c>
      <c r="T61" s="117">
        <f t="shared" si="50"/>
        <v>1</v>
      </c>
      <c r="U61" s="117">
        <f t="shared" si="50"/>
        <v>1</v>
      </c>
      <c r="V61" s="117">
        <f t="shared" si="50"/>
        <v>1</v>
      </c>
      <c r="W61" s="117">
        <f t="shared" si="50"/>
        <v>1</v>
      </c>
      <c r="X61" s="117">
        <f t="shared" si="50"/>
        <v>1</v>
      </c>
      <c r="Y61" s="117">
        <f t="shared" si="50"/>
        <v>1</v>
      </c>
      <c r="Z61" s="117">
        <f t="shared" si="50"/>
        <v>1</v>
      </c>
      <c r="AA61" s="117">
        <f t="shared" si="50"/>
        <v>1</v>
      </c>
      <c r="AB61" s="117">
        <f t="shared" si="50"/>
        <v>1</v>
      </c>
      <c r="AC61" s="117">
        <f t="shared" si="50"/>
        <v>1</v>
      </c>
      <c r="AD61" s="117">
        <f t="shared" si="50"/>
        <v>1</v>
      </c>
      <c r="AE61" s="117">
        <f t="shared" si="50"/>
        <v>1</v>
      </c>
      <c r="AF61" s="117">
        <f t="shared" si="50"/>
        <v>1</v>
      </c>
      <c r="AG61" s="117">
        <f t="shared" si="50"/>
        <v>1</v>
      </c>
      <c r="AH61" s="117">
        <f t="shared" si="50"/>
        <v>1</v>
      </c>
      <c r="AI61" s="117">
        <f t="shared" si="50"/>
        <v>1</v>
      </c>
      <c r="AJ61" s="117">
        <f t="shared" si="50"/>
        <v>1</v>
      </c>
      <c r="AK61" s="117">
        <f t="shared" si="50"/>
        <v>1</v>
      </c>
      <c r="AL61" s="117">
        <f t="shared" si="50"/>
        <v>1</v>
      </c>
      <c r="AM61" s="117">
        <f t="shared" si="50"/>
        <v>1</v>
      </c>
      <c r="AN61" s="117">
        <f t="shared" si="50"/>
        <v>1</v>
      </c>
      <c r="AO61" s="117">
        <f t="shared" si="50"/>
        <v>1</v>
      </c>
      <c r="AP61" s="117">
        <f t="shared" si="50"/>
        <v>1</v>
      </c>
      <c r="AQ61" s="117">
        <f t="shared" si="50"/>
        <v>1</v>
      </c>
      <c r="AR61" s="117">
        <f t="shared" si="50"/>
        <v>1</v>
      </c>
      <c r="AS61" s="117">
        <f t="shared" si="50"/>
        <v>1</v>
      </c>
      <c r="AT61" s="117">
        <f t="shared" si="50"/>
        <v>1</v>
      </c>
      <c r="AU61" s="117">
        <f t="shared" si="50"/>
        <v>1</v>
      </c>
      <c r="AV61" s="117">
        <f t="shared" si="50"/>
        <v>1</v>
      </c>
      <c r="AW61" s="117">
        <f t="shared" si="50"/>
        <v>1</v>
      </c>
      <c r="AX61" s="117">
        <f t="shared" si="50"/>
        <v>1</v>
      </c>
      <c r="AY61" s="117">
        <f t="shared" si="50"/>
        <v>1</v>
      </c>
      <c r="AZ61" s="117">
        <f t="shared" si="50"/>
        <v>1</v>
      </c>
      <c r="BA61" s="117">
        <f t="shared" si="50"/>
        <v>1</v>
      </c>
      <c r="BB61" s="117">
        <f t="shared" si="50"/>
        <v>1</v>
      </c>
      <c r="BC61" s="117">
        <f t="shared" si="50"/>
        <v>1</v>
      </c>
      <c r="BD61" s="117">
        <f t="shared" si="50"/>
        <v>1</v>
      </c>
      <c r="BE61" s="117">
        <f t="shared" si="50"/>
        <v>1</v>
      </c>
      <c r="BF61" s="117">
        <f t="shared" si="50"/>
        <v>1</v>
      </c>
      <c r="BG61" s="117">
        <f t="shared" si="50"/>
        <v>1</v>
      </c>
      <c r="BH61" s="117">
        <f t="shared" si="50"/>
        <v>1</v>
      </c>
      <c r="BI61" s="117">
        <f t="shared" si="50"/>
        <v>1</v>
      </c>
      <c r="BJ61" s="117">
        <f t="shared" si="50"/>
        <v>1</v>
      </c>
    </row>
    <row r="62" spans="1:62" outlineLevel="1" x14ac:dyDescent="0.25">
      <c r="A62" s="18" t="s">
        <v>230</v>
      </c>
      <c r="B62" s="125">
        <f>I18</f>
        <v>0.1</v>
      </c>
      <c r="C62" s="117">
        <f>C47*$B$62</f>
        <v>0</v>
      </c>
      <c r="D62" s="117">
        <f>(C47*$G$4)*$B$62</f>
        <v>0</v>
      </c>
      <c r="E62" s="117">
        <f t="shared" ref="E62:L62" si="51">(D47*$G$4)*$B$62+(D47*$G$5)*$B$62</f>
        <v>0</v>
      </c>
      <c r="F62" s="117">
        <f t="shared" si="51"/>
        <v>0</v>
      </c>
      <c r="G62" s="117">
        <f t="shared" si="51"/>
        <v>0</v>
      </c>
      <c r="H62" s="117">
        <f t="shared" si="51"/>
        <v>0</v>
      </c>
      <c r="I62" s="117">
        <f t="shared" si="51"/>
        <v>0</v>
      </c>
      <c r="J62" s="117">
        <f t="shared" si="51"/>
        <v>0</v>
      </c>
      <c r="K62" s="117">
        <f t="shared" si="51"/>
        <v>0</v>
      </c>
      <c r="L62" s="117">
        <f t="shared" si="51"/>
        <v>0</v>
      </c>
      <c r="M62" s="117">
        <f>(L47*$G$4)*$B$62+(L47*$G$5)*$B$62</f>
        <v>0</v>
      </c>
      <c r="N62" s="117">
        <f>(M47*$G$4)*$B$62+(M47*$G$5)*$B$62</f>
        <v>1</v>
      </c>
      <c r="O62" s="117">
        <f t="shared" ref="O62:BJ62" si="52">N62*(1+$J$18)</f>
        <v>1.02</v>
      </c>
      <c r="P62" s="117">
        <f t="shared" si="52"/>
        <v>1.0404</v>
      </c>
      <c r="Q62" s="117">
        <f t="shared" si="52"/>
        <v>1.0612079999999999</v>
      </c>
      <c r="R62" s="117">
        <f t="shared" si="52"/>
        <v>1.08243216</v>
      </c>
      <c r="S62" s="117">
        <f t="shared" si="52"/>
        <v>1.1040808032</v>
      </c>
      <c r="T62" s="117">
        <f t="shared" si="52"/>
        <v>1.1261624192640001</v>
      </c>
      <c r="U62" s="117">
        <f t="shared" si="52"/>
        <v>1.14868566764928</v>
      </c>
      <c r="V62" s="117">
        <f t="shared" si="52"/>
        <v>1.1716593810022657</v>
      </c>
      <c r="W62" s="117">
        <f t="shared" si="52"/>
        <v>1.1950925686223111</v>
      </c>
      <c r="X62" s="117">
        <f t="shared" si="52"/>
        <v>1.2189944199947573</v>
      </c>
      <c r="Y62" s="117">
        <f t="shared" si="52"/>
        <v>1.2433743083946525</v>
      </c>
      <c r="Z62" s="117">
        <f t="shared" si="52"/>
        <v>1.2682417945625455</v>
      </c>
      <c r="AA62" s="117">
        <f t="shared" si="52"/>
        <v>1.2936066304537963</v>
      </c>
      <c r="AB62" s="117">
        <f t="shared" si="52"/>
        <v>1.3194787630628724</v>
      </c>
      <c r="AC62" s="117">
        <f t="shared" si="52"/>
        <v>1.3458683383241299</v>
      </c>
      <c r="AD62" s="117">
        <f t="shared" si="52"/>
        <v>1.3727857050906125</v>
      </c>
      <c r="AE62" s="117">
        <f t="shared" si="52"/>
        <v>1.4002414191924248</v>
      </c>
      <c r="AF62" s="117">
        <f t="shared" si="52"/>
        <v>1.4282462475762734</v>
      </c>
      <c r="AG62" s="117">
        <f t="shared" si="52"/>
        <v>1.4568111725277988</v>
      </c>
      <c r="AH62" s="117">
        <f t="shared" si="52"/>
        <v>1.4859473959783549</v>
      </c>
      <c r="AI62" s="117">
        <f t="shared" si="52"/>
        <v>1.5156663438979221</v>
      </c>
      <c r="AJ62" s="117">
        <f t="shared" si="52"/>
        <v>1.5459796707758806</v>
      </c>
      <c r="AK62" s="117">
        <f t="shared" si="52"/>
        <v>1.5768992641913981</v>
      </c>
      <c r="AL62" s="117">
        <f t="shared" si="52"/>
        <v>1.6084372494752261</v>
      </c>
      <c r="AM62" s="117">
        <f t="shared" si="52"/>
        <v>1.6406059944647307</v>
      </c>
      <c r="AN62" s="117">
        <f t="shared" si="52"/>
        <v>1.6734181143540252</v>
      </c>
      <c r="AO62" s="117">
        <f t="shared" si="52"/>
        <v>1.7068864766411058</v>
      </c>
      <c r="AP62" s="117">
        <f t="shared" si="52"/>
        <v>1.7410242061739281</v>
      </c>
      <c r="AQ62" s="117">
        <f t="shared" si="52"/>
        <v>1.7758446902974065</v>
      </c>
      <c r="AR62" s="117">
        <f t="shared" si="52"/>
        <v>1.8113615841033548</v>
      </c>
      <c r="AS62" s="117">
        <f t="shared" si="52"/>
        <v>1.8475888157854219</v>
      </c>
      <c r="AT62" s="117">
        <f t="shared" si="52"/>
        <v>1.8845405921011305</v>
      </c>
      <c r="AU62" s="117">
        <f t="shared" si="52"/>
        <v>1.9222314039431532</v>
      </c>
      <c r="AV62" s="117">
        <f t="shared" si="52"/>
        <v>1.9606760320220162</v>
      </c>
      <c r="AW62" s="117">
        <f t="shared" si="52"/>
        <v>1.9998895526624565</v>
      </c>
      <c r="AX62" s="117">
        <f t="shared" si="52"/>
        <v>2.0398873437157055</v>
      </c>
      <c r="AY62" s="117">
        <f t="shared" si="52"/>
        <v>2.0806850905900198</v>
      </c>
      <c r="AZ62" s="117">
        <f t="shared" si="52"/>
        <v>2.1222987924018204</v>
      </c>
      <c r="BA62" s="117">
        <f t="shared" si="52"/>
        <v>2.1647447682498568</v>
      </c>
      <c r="BB62" s="117">
        <f t="shared" si="52"/>
        <v>2.208039663614854</v>
      </c>
      <c r="BC62" s="117">
        <f t="shared" si="52"/>
        <v>2.252200456887151</v>
      </c>
      <c r="BD62" s="117">
        <f t="shared" si="52"/>
        <v>2.2972444660248938</v>
      </c>
      <c r="BE62" s="117">
        <f t="shared" si="52"/>
        <v>2.343189355345392</v>
      </c>
      <c r="BF62" s="117">
        <f t="shared" si="52"/>
        <v>2.3900531424522997</v>
      </c>
      <c r="BG62" s="117">
        <f t="shared" si="52"/>
        <v>2.4378542053013459</v>
      </c>
      <c r="BH62" s="117">
        <f t="shared" si="52"/>
        <v>2.4866112894073726</v>
      </c>
      <c r="BI62" s="117">
        <f t="shared" si="52"/>
        <v>2.53634351519552</v>
      </c>
      <c r="BJ62" s="117">
        <f t="shared" si="52"/>
        <v>2.5870703854994304</v>
      </c>
    </row>
    <row r="63" spans="1:62" outlineLevel="1" x14ac:dyDescent="0.25">
      <c r="A63" s="18" t="s">
        <v>231</v>
      </c>
      <c r="B63" s="125">
        <f>I19</f>
        <v>0.05</v>
      </c>
      <c r="C63" s="117">
        <f>C48*$B$63</f>
        <v>0</v>
      </c>
      <c r="D63" s="117">
        <f t="shared" ref="D63:N63" si="53">D48*$B$63</f>
        <v>0</v>
      </c>
      <c r="E63" s="117">
        <f t="shared" si="53"/>
        <v>0</v>
      </c>
      <c r="F63" s="117">
        <f t="shared" si="53"/>
        <v>0</v>
      </c>
      <c r="G63" s="117">
        <f t="shared" si="53"/>
        <v>0</v>
      </c>
      <c r="H63" s="117">
        <f t="shared" si="53"/>
        <v>0</v>
      </c>
      <c r="I63" s="117">
        <f t="shared" si="53"/>
        <v>0</v>
      </c>
      <c r="J63" s="117">
        <f t="shared" si="53"/>
        <v>0</v>
      </c>
      <c r="K63" s="117">
        <f t="shared" si="53"/>
        <v>0.75</v>
      </c>
      <c r="L63" s="117">
        <f t="shared" si="53"/>
        <v>0.75</v>
      </c>
      <c r="M63" s="117">
        <f t="shared" si="53"/>
        <v>0.75</v>
      </c>
      <c r="N63" s="117">
        <f t="shared" si="53"/>
        <v>0.75</v>
      </c>
      <c r="O63" s="117">
        <f t="shared" ref="O63:BJ63" si="54">O48*$B$63</f>
        <v>0.75</v>
      </c>
      <c r="P63" s="117">
        <f t="shared" si="54"/>
        <v>0.75</v>
      </c>
      <c r="Q63" s="117">
        <f t="shared" si="54"/>
        <v>0.75</v>
      </c>
      <c r="R63" s="117">
        <f t="shared" si="54"/>
        <v>0.75</v>
      </c>
      <c r="S63" s="117">
        <f t="shared" si="54"/>
        <v>0.75</v>
      </c>
      <c r="T63" s="117">
        <f t="shared" si="54"/>
        <v>0.75</v>
      </c>
      <c r="U63" s="117">
        <f t="shared" si="54"/>
        <v>0.75</v>
      </c>
      <c r="V63" s="117">
        <f t="shared" si="54"/>
        <v>0.75</v>
      </c>
      <c r="W63" s="117">
        <f t="shared" si="54"/>
        <v>0.75</v>
      </c>
      <c r="X63" s="117">
        <f t="shared" si="54"/>
        <v>0.75</v>
      </c>
      <c r="Y63" s="117">
        <f t="shared" si="54"/>
        <v>0.75</v>
      </c>
      <c r="Z63" s="117">
        <f t="shared" si="54"/>
        <v>0.75</v>
      </c>
      <c r="AA63" s="117">
        <f t="shared" si="54"/>
        <v>0.75</v>
      </c>
      <c r="AB63" s="117">
        <f t="shared" si="54"/>
        <v>0.75</v>
      </c>
      <c r="AC63" s="117">
        <f t="shared" si="54"/>
        <v>0.75</v>
      </c>
      <c r="AD63" s="117">
        <f t="shared" si="54"/>
        <v>0.75</v>
      </c>
      <c r="AE63" s="117">
        <f t="shared" si="54"/>
        <v>0.75</v>
      </c>
      <c r="AF63" s="117">
        <f t="shared" si="54"/>
        <v>0.75</v>
      </c>
      <c r="AG63" s="117">
        <f t="shared" si="54"/>
        <v>0.75</v>
      </c>
      <c r="AH63" s="117">
        <f t="shared" si="54"/>
        <v>0.75</v>
      </c>
      <c r="AI63" s="117">
        <f t="shared" si="54"/>
        <v>0.75</v>
      </c>
      <c r="AJ63" s="117">
        <f t="shared" si="54"/>
        <v>0.75</v>
      </c>
      <c r="AK63" s="117">
        <f t="shared" si="54"/>
        <v>0.75</v>
      </c>
      <c r="AL63" s="117">
        <f t="shared" si="54"/>
        <v>0.75</v>
      </c>
      <c r="AM63" s="117">
        <f t="shared" si="54"/>
        <v>0.75</v>
      </c>
      <c r="AN63" s="117">
        <f t="shared" si="54"/>
        <v>0.75</v>
      </c>
      <c r="AO63" s="117">
        <f t="shared" si="54"/>
        <v>0.75</v>
      </c>
      <c r="AP63" s="117">
        <f t="shared" si="54"/>
        <v>0.75</v>
      </c>
      <c r="AQ63" s="117">
        <f t="shared" si="54"/>
        <v>0.75</v>
      </c>
      <c r="AR63" s="117">
        <f t="shared" si="54"/>
        <v>0.75</v>
      </c>
      <c r="AS63" s="117">
        <f t="shared" si="54"/>
        <v>0.75</v>
      </c>
      <c r="AT63" s="117">
        <f t="shared" si="54"/>
        <v>0.75</v>
      </c>
      <c r="AU63" s="117">
        <f t="shared" si="54"/>
        <v>0.75</v>
      </c>
      <c r="AV63" s="117">
        <f t="shared" si="54"/>
        <v>0.75</v>
      </c>
      <c r="AW63" s="117">
        <f t="shared" si="54"/>
        <v>0.75</v>
      </c>
      <c r="AX63" s="117">
        <f t="shared" si="54"/>
        <v>0.75</v>
      </c>
      <c r="AY63" s="117">
        <f t="shared" si="54"/>
        <v>0.75</v>
      </c>
      <c r="AZ63" s="117">
        <f t="shared" si="54"/>
        <v>0.75</v>
      </c>
      <c r="BA63" s="117">
        <f t="shared" si="54"/>
        <v>0.75</v>
      </c>
      <c r="BB63" s="117">
        <f t="shared" si="54"/>
        <v>0.75</v>
      </c>
      <c r="BC63" s="117">
        <f t="shared" si="54"/>
        <v>0.75</v>
      </c>
      <c r="BD63" s="117">
        <f t="shared" si="54"/>
        <v>0.75</v>
      </c>
      <c r="BE63" s="117">
        <f t="shared" si="54"/>
        <v>0.75</v>
      </c>
      <c r="BF63" s="117">
        <f t="shared" si="54"/>
        <v>0.75</v>
      </c>
      <c r="BG63" s="117">
        <f t="shared" si="54"/>
        <v>0.75</v>
      </c>
      <c r="BH63" s="117">
        <f t="shared" si="54"/>
        <v>0.75</v>
      </c>
      <c r="BI63" s="117">
        <f t="shared" si="54"/>
        <v>0.75</v>
      </c>
      <c r="BJ63" s="117">
        <f t="shared" si="54"/>
        <v>0.75</v>
      </c>
    </row>
    <row r="64" spans="1:62" outlineLevel="1" x14ac:dyDescent="0.25">
      <c r="A64" s="18" t="s">
        <v>231</v>
      </c>
      <c r="B64" s="125">
        <f>I19</f>
        <v>0.05</v>
      </c>
      <c r="C64" s="117">
        <f>C49*$B$64</f>
        <v>0</v>
      </c>
      <c r="D64" s="117">
        <f t="shared" ref="D64:N64" si="55">D49*$B$64</f>
        <v>0</v>
      </c>
      <c r="E64" s="117">
        <f t="shared" si="55"/>
        <v>0</v>
      </c>
      <c r="F64" s="117">
        <f t="shared" si="55"/>
        <v>0</v>
      </c>
      <c r="G64" s="117">
        <f t="shared" si="55"/>
        <v>0</v>
      </c>
      <c r="H64" s="117">
        <f t="shared" si="55"/>
        <v>0</v>
      </c>
      <c r="I64" s="117">
        <f t="shared" si="55"/>
        <v>0</v>
      </c>
      <c r="J64" s="117">
        <f t="shared" si="55"/>
        <v>0</v>
      </c>
      <c r="K64" s="117">
        <f t="shared" si="55"/>
        <v>0</v>
      </c>
      <c r="L64" s="117">
        <f t="shared" si="55"/>
        <v>0.75</v>
      </c>
      <c r="M64" s="117">
        <f t="shared" si="55"/>
        <v>0.75</v>
      </c>
      <c r="N64" s="117">
        <f t="shared" si="55"/>
        <v>0.75</v>
      </c>
      <c r="O64" s="117">
        <f t="shared" ref="O64:BJ64" si="56">O49*$B$64</f>
        <v>0.75</v>
      </c>
      <c r="P64" s="117">
        <f t="shared" si="56"/>
        <v>0.75</v>
      </c>
      <c r="Q64" s="117">
        <f t="shared" si="56"/>
        <v>0.75</v>
      </c>
      <c r="R64" s="117">
        <f t="shared" si="56"/>
        <v>0.75</v>
      </c>
      <c r="S64" s="117">
        <f t="shared" si="56"/>
        <v>0.75</v>
      </c>
      <c r="T64" s="117">
        <f t="shared" si="56"/>
        <v>0.75</v>
      </c>
      <c r="U64" s="117">
        <f t="shared" si="56"/>
        <v>0.75</v>
      </c>
      <c r="V64" s="117">
        <f t="shared" si="56"/>
        <v>0.75</v>
      </c>
      <c r="W64" s="117">
        <f t="shared" si="56"/>
        <v>0.75</v>
      </c>
      <c r="X64" s="117">
        <f t="shared" si="56"/>
        <v>0.75</v>
      </c>
      <c r="Y64" s="117">
        <f t="shared" si="56"/>
        <v>0.75</v>
      </c>
      <c r="Z64" s="117">
        <f t="shared" si="56"/>
        <v>0.75</v>
      </c>
      <c r="AA64" s="117">
        <f t="shared" si="56"/>
        <v>0.75</v>
      </c>
      <c r="AB64" s="117">
        <f t="shared" si="56"/>
        <v>0.75</v>
      </c>
      <c r="AC64" s="117">
        <f t="shared" si="56"/>
        <v>0.75</v>
      </c>
      <c r="AD64" s="117">
        <f t="shared" si="56"/>
        <v>0.75</v>
      </c>
      <c r="AE64" s="117">
        <f t="shared" si="56"/>
        <v>0.75</v>
      </c>
      <c r="AF64" s="117">
        <f t="shared" si="56"/>
        <v>0.75</v>
      </c>
      <c r="AG64" s="117">
        <f t="shared" si="56"/>
        <v>0.75</v>
      </c>
      <c r="AH64" s="117">
        <f t="shared" si="56"/>
        <v>0.75</v>
      </c>
      <c r="AI64" s="117">
        <f t="shared" si="56"/>
        <v>0.75</v>
      </c>
      <c r="AJ64" s="117">
        <f t="shared" si="56"/>
        <v>0.75</v>
      </c>
      <c r="AK64" s="117">
        <f t="shared" si="56"/>
        <v>0.75</v>
      </c>
      <c r="AL64" s="117">
        <f t="shared" si="56"/>
        <v>0.75</v>
      </c>
      <c r="AM64" s="117">
        <f t="shared" si="56"/>
        <v>0.75</v>
      </c>
      <c r="AN64" s="117">
        <f t="shared" si="56"/>
        <v>0.75</v>
      </c>
      <c r="AO64" s="117">
        <f t="shared" si="56"/>
        <v>0.75</v>
      </c>
      <c r="AP64" s="117">
        <f t="shared" si="56"/>
        <v>0.75</v>
      </c>
      <c r="AQ64" s="117">
        <f t="shared" si="56"/>
        <v>0.75</v>
      </c>
      <c r="AR64" s="117">
        <f t="shared" si="56"/>
        <v>0.75</v>
      </c>
      <c r="AS64" s="117">
        <f t="shared" si="56"/>
        <v>0.75</v>
      </c>
      <c r="AT64" s="117">
        <f t="shared" si="56"/>
        <v>0.75</v>
      </c>
      <c r="AU64" s="117">
        <f t="shared" si="56"/>
        <v>0.75</v>
      </c>
      <c r="AV64" s="117">
        <f t="shared" si="56"/>
        <v>0.75</v>
      </c>
      <c r="AW64" s="117">
        <f t="shared" si="56"/>
        <v>0.75</v>
      </c>
      <c r="AX64" s="117">
        <f t="shared" si="56"/>
        <v>0.75</v>
      </c>
      <c r="AY64" s="117">
        <f t="shared" si="56"/>
        <v>0.75</v>
      </c>
      <c r="AZ64" s="117">
        <f t="shared" si="56"/>
        <v>0.75</v>
      </c>
      <c r="BA64" s="117">
        <f t="shared" si="56"/>
        <v>0.75</v>
      </c>
      <c r="BB64" s="117">
        <f t="shared" si="56"/>
        <v>0.75</v>
      </c>
      <c r="BC64" s="117">
        <f t="shared" si="56"/>
        <v>0.75</v>
      </c>
      <c r="BD64" s="117">
        <f t="shared" si="56"/>
        <v>0.75</v>
      </c>
      <c r="BE64" s="117">
        <f t="shared" si="56"/>
        <v>0.75</v>
      </c>
      <c r="BF64" s="117">
        <f t="shared" si="56"/>
        <v>0.75</v>
      </c>
      <c r="BG64" s="117">
        <f t="shared" si="56"/>
        <v>0.75</v>
      </c>
      <c r="BH64" s="117">
        <f t="shared" si="56"/>
        <v>0.75</v>
      </c>
      <c r="BI64" s="117">
        <f t="shared" si="56"/>
        <v>0.75</v>
      </c>
      <c r="BJ64" s="117">
        <f t="shared" si="56"/>
        <v>0.75</v>
      </c>
    </row>
    <row r="65" spans="1:62" outlineLevel="1" x14ac:dyDescent="0.25">
      <c r="A65" s="18" t="s">
        <v>231</v>
      </c>
      <c r="B65" s="125">
        <f>I19</f>
        <v>0.05</v>
      </c>
      <c r="C65" s="117">
        <f>C50*$B$65</f>
        <v>0</v>
      </c>
      <c r="D65" s="117">
        <f t="shared" ref="D65:N65" si="57">D50*$B$65</f>
        <v>0</v>
      </c>
      <c r="E65" s="117">
        <f t="shared" si="57"/>
        <v>0</v>
      </c>
      <c r="F65" s="117">
        <f t="shared" si="57"/>
        <v>0</v>
      </c>
      <c r="G65" s="117">
        <f t="shared" si="57"/>
        <v>0</v>
      </c>
      <c r="H65" s="117">
        <f t="shared" si="57"/>
        <v>0</v>
      </c>
      <c r="I65" s="117">
        <f t="shared" si="57"/>
        <v>0</v>
      </c>
      <c r="J65" s="117">
        <f t="shared" si="57"/>
        <v>0</v>
      </c>
      <c r="K65" s="117">
        <f t="shared" si="57"/>
        <v>0</v>
      </c>
      <c r="L65" s="117">
        <f t="shared" si="57"/>
        <v>0.75</v>
      </c>
      <c r="M65" s="117">
        <f t="shared" si="57"/>
        <v>0.75</v>
      </c>
      <c r="N65" s="117">
        <f t="shared" si="57"/>
        <v>0.75</v>
      </c>
      <c r="O65" s="117">
        <f t="shared" ref="O65:BJ65" si="58">O50*$B$65</f>
        <v>0.75</v>
      </c>
      <c r="P65" s="117">
        <f t="shared" si="58"/>
        <v>0.75</v>
      </c>
      <c r="Q65" s="117">
        <f t="shared" si="58"/>
        <v>0.75</v>
      </c>
      <c r="R65" s="117">
        <f t="shared" si="58"/>
        <v>0.75</v>
      </c>
      <c r="S65" s="117">
        <f t="shared" si="58"/>
        <v>0.75</v>
      </c>
      <c r="T65" s="117">
        <f t="shared" si="58"/>
        <v>0.75</v>
      </c>
      <c r="U65" s="117">
        <f t="shared" si="58"/>
        <v>0.75</v>
      </c>
      <c r="V65" s="117">
        <f t="shared" si="58"/>
        <v>0.75</v>
      </c>
      <c r="W65" s="117">
        <f t="shared" si="58"/>
        <v>0.75</v>
      </c>
      <c r="X65" s="117">
        <f t="shared" si="58"/>
        <v>0.75</v>
      </c>
      <c r="Y65" s="117">
        <f t="shared" si="58"/>
        <v>0.75</v>
      </c>
      <c r="Z65" s="117">
        <f t="shared" si="58"/>
        <v>0.75</v>
      </c>
      <c r="AA65" s="117">
        <f t="shared" si="58"/>
        <v>0.75</v>
      </c>
      <c r="AB65" s="117">
        <f t="shared" si="58"/>
        <v>0.75</v>
      </c>
      <c r="AC65" s="117">
        <f t="shared" si="58"/>
        <v>0.75</v>
      </c>
      <c r="AD65" s="117">
        <f t="shared" si="58"/>
        <v>0.75</v>
      </c>
      <c r="AE65" s="117">
        <f t="shared" si="58"/>
        <v>0.75</v>
      </c>
      <c r="AF65" s="117">
        <f t="shared" si="58"/>
        <v>0.75</v>
      </c>
      <c r="AG65" s="117">
        <f t="shared" si="58"/>
        <v>0.75</v>
      </c>
      <c r="AH65" s="117">
        <f t="shared" si="58"/>
        <v>0.75</v>
      </c>
      <c r="AI65" s="117">
        <f t="shared" si="58"/>
        <v>0.75</v>
      </c>
      <c r="AJ65" s="117">
        <f t="shared" si="58"/>
        <v>0.75</v>
      </c>
      <c r="AK65" s="117">
        <f t="shared" si="58"/>
        <v>0.75</v>
      </c>
      <c r="AL65" s="117">
        <f t="shared" si="58"/>
        <v>0.75</v>
      </c>
      <c r="AM65" s="117">
        <f t="shared" si="58"/>
        <v>0.75</v>
      </c>
      <c r="AN65" s="117">
        <f t="shared" si="58"/>
        <v>0.75</v>
      </c>
      <c r="AO65" s="117">
        <f t="shared" si="58"/>
        <v>0.75</v>
      </c>
      <c r="AP65" s="117">
        <f t="shared" si="58"/>
        <v>0.75</v>
      </c>
      <c r="AQ65" s="117">
        <f t="shared" si="58"/>
        <v>0.75</v>
      </c>
      <c r="AR65" s="117">
        <f t="shared" si="58"/>
        <v>0.75</v>
      </c>
      <c r="AS65" s="117">
        <f t="shared" si="58"/>
        <v>0.75</v>
      </c>
      <c r="AT65" s="117">
        <f t="shared" si="58"/>
        <v>0.75</v>
      </c>
      <c r="AU65" s="117">
        <f t="shared" si="58"/>
        <v>0.75</v>
      </c>
      <c r="AV65" s="117">
        <f t="shared" si="58"/>
        <v>0.75</v>
      </c>
      <c r="AW65" s="117">
        <f t="shared" si="58"/>
        <v>0.75</v>
      </c>
      <c r="AX65" s="117">
        <f t="shared" si="58"/>
        <v>0.75</v>
      </c>
      <c r="AY65" s="117">
        <f t="shared" si="58"/>
        <v>0.75</v>
      </c>
      <c r="AZ65" s="117">
        <f t="shared" si="58"/>
        <v>0.75</v>
      </c>
      <c r="BA65" s="117">
        <f t="shared" si="58"/>
        <v>0.75</v>
      </c>
      <c r="BB65" s="117">
        <f t="shared" si="58"/>
        <v>0.75</v>
      </c>
      <c r="BC65" s="117">
        <f t="shared" si="58"/>
        <v>0.75</v>
      </c>
      <c r="BD65" s="117">
        <f t="shared" si="58"/>
        <v>0.75</v>
      </c>
      <c r="BE65" s="117">
        <f t="shared" si="58"/>
        <v>0.75</v>
      </c>
      <c r="BF65" s="117">
        <f t="shared" si="58"/>
        <v>0.75</v>
      </c>
      <c r="BG65" s="117">
        <f t="shared" si="58"/>
        <v>0.75</v>
      </c>
      <c r="BH65" s="117">
        <f t="shared" si="58"/>
        <v>0.75</v>
      </c>
      <c r="BI65" s="117">
        <f t="shared" si="58"/>
        <v>0.75</v>
      </c>
      <c r="BJ65" s="117">
        <f t="shared" si="58"/>
        <v>0.75</v>
      </c>
    </row>
    <row r="66" spans="1:62" outlineLevel="1" x14ac:dyDescent="0.25">
      <c r="A66" s="18" t="s">
        <v>231</v>
      </c>
      <c r="B66" s="125">
        <f>I19</f>
        <v>0.05</v>
      </c>
      <c r="C66" s="117">
        <f>C51*$B$66</f>
        <v>0</v>
      </c>
      <c r="D66" s="117">
        <f t="shared" ref="D66:N66" si="59">D51*$B$66</f>
        <v>0</v>
      </c>
      <c r="E66" s="117">
        <f t="shared" si="59"/>
        <v>0</v>
      </c>
      <c r="F66" s="117">
        <f t="shared" si="59"/>
        <v>0</v>
      </c>
      <c r="G66" s="117">
        <f t="shared" si="59"/>
        <v>0</v>
      </c>
      <c r="H66" s="117">
        <f t="shared" si="59"/>
        <v>0</v>
      </c>
      <c r="I66" s="117">
        <f t="shared" si="59"/>
        <v>0</v>
      </c>
      <c r="J66" s="117">
        <f t="shared" si="59"/>
        <v>0</v>
      </c>
      <c r="K66" s="117">
        <f t="shared" si="59"/>
        <v>0</v>
      </c>
      <c r="L66" s="117">
        <f t="shared" si="59"/>
        <v>0</v>
      </c>
      <c r="M66" s="117">
        <f t="shared" si="59"/>
        <v>0.75</v>
      </c>
      <c r="N66" s="117">
        <f t="shared" si="59"/>
        <v>0.75</v>
      </c>
      <c r="O66" s="117">
        <f t="shared" ref="O66:BJ66" si="60">O51*$B$66</f>
        <v>0.75</v>
      </c>
      <c r="P66" s="117">
        <f t="shared" si="60"/>
        <v>0.75</v>
      </c>
      <c r="Q66" s="117">
        <f t="shared" si="60"/>
        <v>0.75</v>
      </c>
      <c r="R66" s="117">
        <f t="shared" si="60"/>
        <v>0.75</v>
      </c>
      <c r="S66" s="117">
        <f t="shared" si="60"/>
        <v>0.75</v>
      </c>
      <c r="T66" s="117">
        <f t="shared" si="60"/>
        <v>0.75</v>
      </c>
      <c r="U66" s="117">
        <f t="shared" si="60"/>
        <v>0.75</v>
      </c>
      <c r="V66" s="117">
        <f t="shared" si="60"/>
        <v>0.75</v>
      </c>
      <c r="W66" s="117">
        <f t="shared" si="60"/>
        <v>0.75</v>
      </c>
      <c r="X66" s="117">
        <f t="shared" si="60"/>
        <v>0.75</v>
      </c>
      <c r="Y66" s="117">
        <f t="shared" si="60"/>
        <v>0.75</v>
      </c>
      <c r="Z66" s="117">
        <f t="shared" si="60"/>
        <v>0.75</v>
      </c>
      <c r="AA66" s="117">
        <f t="shared" si="60"/>
        <v>0.75</v>
      </c>
      <c r="AB66" s="117">
        <f t="shared" si="60"/>
        <v>0.75</v>
      </c>
      <c r="AC66" s="117">
        <f t="shared" si="60"/>
        <v>0.75</v>
      </c>
      <c r="AD66" s="117">
        <f t="shared" si="60"/>
        <v>0.75</v>
      </c>
      <c r="AE66" s="117">
        <f t="shared" si="60"/>
        <v>0.75</v>
      </c>
      <c r="AF66" s="117">
        <f t="shared" si="60"/>
        <v>0.75</v>
      </c>
      <c r="AG66" s="117">
        <f t="shared" si="60"/>
        <v>0.75</v>
      </c>
      <c r="AH66" s="117">
        <f t="shared" si="60"/>
        <v>0.75</v>
      </c>
      <c r="AI66" s="117">
        <f t="shared" si="60"/>
        <v>0.75</v>
      </c>
      <c r="AJ66" s="117">
        <f t="shared" si="60"/>
        <v>0.75</v>
      </c>
      <c r="AK66" s="117">
        <f t="shared" si="60"/>
        <v>0.75</v>
      </c>
      <c r="AL66" s="117">
        <f t="shared" si="60"/>
        <v>0.75</v>
      </c>
      <c r="AM66" s="117">
        <f t="shared" si="60"/>
        <v>0.75</v>
      </c>
      <c r="AN66" s="117">
        <f t="shared" si="60"/>
        <v>0.75</v>
      </c>
      <c r="AO66" s="117">
        <f t="shared" si="60"/>
        <v>0.75</v>
      </c>
      <c r="AP66" s="117">
        <f t="shared" si="60"/>
        <v>0.75</v>
      </c>
      <c r="AQ66" s="117">
        <f t="shared" si="60"/>
        <v>0.75</v>
      </c>
      <c r="AR66" s="117">
        <f t="shared" si="60"/>
        <v>0.75</v>
      </c>
      <c r="AS66" s="117">
        <f t="shared" si="60"/>
        <v>0.75</v>
      </c>
      <c r="AT66" s="117">
        <f t="shared" si="60"/>
        <v>0.75</v>
      </c>
      <c r="AU66" s="117">
        <f t="shared" si="60"/>
        <v>0.75</v>
      </c>
      <c r="AV66" s="117">
        <f t="shared" si="60"/>
        <v>0.75</v>
      </c>
      <c r="AW66" s="117">
        <f t="shared" si="60"/>
        <v>0.75</v>
      </c>
      <c r="AX66" s="117">
        <f t="shared" si="60"/>
        <v>0.75</v>
      </c>
      <c r="AY66" s="117">
        <f t="shared" si="60"/>
        <v>0.75</v>
      </c>
      <c r="AZ66" s="117">
        <f t="shared" si="60"/>
        <v>0.75</v>
      </c>
      <c r="BA66" s="117">
        <f t="shared" si="60"/>
        <v>0.75</v>
      </c>
      <c r="BB66" s="117">
        <f t="shared" si="60"/>
        <v>0.75</v>
      </c>
      <c r="BC66" s="117">
        <f t="shared" si="60"/>
        <v>0.75</v>
      </c>
      <c r="BD66" s="117">
        <f t="shared" si="60"/>
        <v>0.75</v>
      </c>
      <c r="BE66" s="117">
        <f t="shared" si="60"/>
        <v>0.75</v>
      </c>
      <c r="BF66" s="117">
        <f t="shared" si="60"/>
        <v>0.75</v>
      </c>
      <c r="BG66" s="117">
        <f t="shared" si="60"/>
        <v>0.75</v>
      </c>
      <c r="BH66" s="117">
        <f t="shared" si="60"/>
        <v>0.75</v>
      </c>
      <c r="BI66" s="117">
        <f t="shared" si="60"/>
        <v>0.75</v>
      </c>
      <c r="BJ66" s="117">
        <f t="shared" si="60"/>
        <v>0.75</v>
      </c>
    </row>
    <row r="67" spans="1:62" outlineLevel="1" x14ac:dyDescent="0.25">
      <c r="A67" s="18" t="s">
        <v>231</v>
      </c>
      <c r="B67" s="125">
        <f>I19</f>
        <v>0.05</v>
      </c>
      <c r="C67" s="117">
        <f>C52*$B$67</f>
        <v>0</v>
      </c>
      <c r="D67" s="117">
        <f t="shared" ref="D67:N67" si="61">D52*$B$67</f>
        <v>0</v>
      </c>
      <c r="E67" s="117">
        <f t="shared" si="61"/>
        <v>0</v>
      </c>
      <c r="F67" s="117">
        <f t="shared" si="61"/>
        <v>0</v>
      </c>
      <c r="G67" s="117">
        <f t="shared" si="61"/>
        <v>0</v>
      </c>
      <c r="H67" s="117">
        <f t="shared" si="61"/>
        <v>0</v>
      </c>
      <c r="I67" s="117">
        <f t="shared" si="61"/>
        <v>0</v>
      </c>
      <c r="J67" s="117">
        <f t="shared" si="61"/>
        <v>0</v>
      </c>
      <c r="K67" s="117">
        <f t="shared" si="61"/>
        <v>0</v>
      </c>
      <c r="L67" s="117">
        <f t="shared" si="61"/>
        <v>0</v>
      </c>
      <c r="M67" s="117">
        <f t="shared" si="61"/>
        <v>0</v>
      </c>
      <c r="N67" s="117">
        <f t="shared" si="61"/>
        <v>0.75</v>
      </c>
      <c r="O67" s="117">
        <f t="shared" ref="O67:BJ67" si="62">O52*$B$67</f>
        <v>0.75</v>
      </c>
      <c r="P67" s="117">
        <f t="shared" si="62"/>
        <v>0.75</v>
      </c>
      <c r="Q67" s="117">
        <f t="shared" si="62"/>
        <v>0.75</v>
      </c>
      <c r="R67" s="117">
        <f t="shared" si="62"/>
        <v>0.75</v>
      </c>
      <c r="S67" s="117">
        <f t="shared" si="62"/>
        <v>0.75</v>
      </c>
      <c r="T67" s="117">
        <f t="shared" si="62"/>
        <v>0.75</v>
      </c>
      <c r="U67" s="117">
        <f t="shared" si="62"/>
        <v>0.75</v>
      </c>
      <c r="V67" s="117">
        <f t="shared" si="62"/>
        <v>0.75</v>
      </c>
      <c r="W67" s="117">
        <f t="shared" si="62"/>
        <v>0.75</v>
      </c>
      <c r="X67" s="117">
        <f t="shared" si="62"/>
        <v>0.75</v>
      </c>
      <c r="Y67" s="117">
        <f t="shared" si="62"/>
        <v>0.75</v>
      </c>
      <c r="Z67" s="117">
        <f t="shared" si="62"/>
        <v>0.75</v>
      </c>
      <c r="AA67" s="117">
        <f t="shared" si="62"/>
        <v>0.75</v>
      </c>
      <c r="AB67" s="117">
        <f t="shared" si="62"/>
        <v>0.75</v>
      </c>
      <c r="AC67" s="117">
        <f t="shared" si="62"/>
        <v>0.75</v>
      </c>
      <c r="AD67" s="117">
        <f t="shared" si="62"/>
        <v>0.75</v>
      </c>
      <c r="AE67" s="117">
        <f t="shared" si="62"/>
        <v>0.75</v>
      </c>
      <c r="AF67" s="117">
        <f t="shared" si="62"/>
        <v>0.75</v>
      </c>
      <c r="AG67" s="117">
        <f t="shared" si="62"/>
        <v>0.75</v>
      </c>
      <c r="AH67" s="117">
        <f t="shared" si="62"/>
        <v>0.75</v>
      </c>
      <c r="AI67" s="117">
        <f t="shared" si="62"/>
        <v>0.75</v>
      </c>
      <c r="AJ67" s="117">
        <f t="shared" si="62"/>
        <v>0.75</v>
      </c>
      <c r="AK67" s="117">
        <f t="shared" si="62"/>
        <v>0.75</v>
      </c>
      <c r="AL67" s="117">
        <f t="shared" si="62"/>
        <v>0.75</v>
      </c>
      <c r="AM67" s="117">
        <f t="shared" si="62"/>
        <v>0.75</v>
      </c>
      <c r="AN67" s="117">
        <f t="shared" si="62"/>
        <v>0.75</v>
      </c>
      <c r="AO67" s="117">
        <f t="shared" si="62"/>
        <v>0.75</v>
      </c>
      <c r="AP67" s="117">
        <f t="shared" si="62"/>
        <v>0.75</v>
      </c>
      <c r="AQ67" s="117">
        <f t="shared" si="62"/>
        <v>0.75</v>
      </c>
      <c r="AR67" s="117">
        <f t="shared" si="62"/>
        <v>0.75</v>
      </c>
      <c r="AS67" s="117">
        <f t="shared" si="62"/>
        <v>0.75</v>
      </c>
      <c r="AT67" s="117">
        <f t="shared" si="62"/>
        <v>0.75</v>
      </c>
      <c r="AU67" s="117">
        <f t="shared" si="62"/>
        <v>0.75</v>
      </c>
      <c r="AV67" s="117">
        <f t="shared" si="62"/>
        <v>0.75</v>
      </c>
      <c r="AW67" s="117">
        <f t="shared" si="62"/>
        <v>0.75</v>
      </c>
      <c r="AX67" s="117">
        <f t="shared" si="62"/>
        <v>0.75</v>
      </c>
      <c r="AY67" s="117">
        <f t="shared" si="62"/>
        <v>0.75</v>
      </c>
      <c r="AZ67" s="117">
        <f t="shared" si="62"/>
        <v>0.75</v>
      </c>
      <c r="BA67" s="117">
        <f t="shared" si="62"/>
        <v>0.75</v>
      </c>
      <c r="BB67" s="117">
        <f t="shared" si="62"/>
        <v>0.75</v>
      </c>
      <c r="BC67" s="117">
        <f t="shared" si="62"/>
        <v>0.75</v>
      </c>
      <c r="BD67" s="117">
        <f t="shared" si="62"/>
        <v>0.75</v>
      </c>
      <c r="BE67" s="117">
        <f t="shared" si="62"/>
        <v>0.75</v>
      </c>
      <c r="BF67" s="117">
        <f t="shared" si="62"/>
        <v>0.75</v>
      </c>
      <c r="BG67" s="117">
        <f t="shared" si="62"/>
        <v>0.75</v>
      </c>
      <c r="BH67" s="117">
        <f t="shared" si="62"/>
        <v>0.75</v>
      </c>
      <c r="BI67" s="117">
        <f t="shared" si="62"/>
        <v>0.75</v>
      </c>
      <c r="BJ67" s="117">
        <f t="shared" si="62"/>
        <v>0.75</v>
      </c>
    </row>
    <row r="68" spans="1:62" ht="17" outlineLevel="1" thickBot="1" x14ac:dyDescent="0.3">
      <c r="A68" s="18" t="s">
        <v>231</v>
      </c>
      <c r="B68" s="125">
        <f>I19</f>
        <v>0.05</v>
      </c>
      <c r="C68" s="117">
        <f>C53*$B$68</f>
        <v>0</v>
      </c>
      <c r="D68" s="117">
        <f t="shared" ref="D68:N68" si="63">D53*$B$68</f>
        <v>0</v>
      </c>
      <c r="E68" s="117">
        <f t="shared" si="63"/>
        <v>0</v>
      </c>
      <c r="F68" s="117">
        <f t="shared" si="63"/>
        <v>0</v>
      </c>
      <c r="G68" s="117">
        <f t="shared" si="63"/>
        <v>0</v>
      </c>
      <c r="H68" s="117">
        <f t="shared" si="63"/>
        <v>0</v>
      </c>
      <c r="I68" s="117">
        <f t="shared" si="63"/>
        <v>0</v>
      </c>
      <c r="J68" s="117">
        <f t="shared" si="63"/>
        <v>0</v>
      </c>
      <c r="K68" s="117">
        <f t="shared" si="63"/>
        <v>0</v>
      </c>
      <c r="L68" s="117">
        <f t="shared" si="63"/>
        <v>0</v>
      </c>
      <c r="M68" s="117">
        <f t="shared" si="63"/>
        <v>0</v>
      </c>
      <c r="N68" s="117">
        <f t="shared" si="63"/>
        <v>0.75</v>
      </c>
      <c r="O68" s="117">
        <f t="shared" ref="O68:BJ68" si="64">O53*$B$68</f>
        <v>0.75</v>
      </c>
      <c r="P68" s="117">
        <f t="shared" si="64"/>
        <v>0.75</v>
      </c>
      <c r="Q68" s="117">
        <f t="shared" si="64"/>
        <v>0.75</v>
      </c>
      <c r="R68" s="117">
        <f t="shared" si="64"/>
        <v>0.75</v>
      </c>
      <c r="S68" s="117">
        <f t="shared" si="64"/>
        <v>0.75</v>
      </c>
      <c r="T68" s="117">
        <f t="shared" si="64"/>
        <v>0.75</v>
      </c>
      <c r="U68" s="117">
        <f t="shared" si="64"/>
        <v>0.75</v>
      </c>
      <c r="V68" s="117">
        <f t="shared" si="64"/>
        <v>0.75</v>
      </c>
      <c r="W68" s="117">
        <f t="shared" si="64"/>
        <v>0.75</v>
      </c>
      <c r="X68" s="117">
        <f t="shared" si="64"/>
        <v>0.75</v>
      </c>
      <c r="Y68" s="117">
        <f t="shared" si="64"/>
        <v>0.75</v>
      </c>
      <c r="Z68" s="117">
        <f t="shared" si="64"/>
        <v>0.75</v>
      </c>
      <c r="AA68" s="117">
        <f t="shared" si="64"/>
        <v>0.75</v>
      </c>
      <c r="AB68" s="117">
        <f t="shared" si="64"/>
        <v>0.75</v>
      </c>
      <c r="AC68" s="117">
        <f t="shared" si="64"/>
        <v>0.75</v>
      </c>
      <c r="AD68" s="117">
        <f t="shared" si="64"/>
        <v>0.75</v>
      </c>
      <c r="AE68" s="117">
        <f t="shared" si="64"/>
        <v>0.75</v>
      </c>
      <c r="AF68" s="117">
        <f t="shared" si="64"/>
        <v>0.75</v>
      </c>
      <c r="AG68" s="117">
        <f t="shared" si="64"/>
        <v>0.75</v>
      </c>
      <c r="AH68" s="117">
        <f t="shared" si="64"/>
        <v>0.75</v>
      </c>
      <c r="AI68" s="117">
        <f t="shared" si="64"/>
        <v>0.75</v>
      </c>
      <c r="AJ68" s="117">
        <f t="shared" si="64"/>
        <v>0.75</v>
      </c>
      <c r="AK68" s="117">
        <f t="shared" si="64"/>
        <v>0.75</v>
      </c>
      <c r="AL68" s="117">
        <f t="shared" si="64"/>
        <v>0.75</v>
      </c>
      <c r="AM68" s="117">
        <f t="shared" si="64"/>
        <v>0.75</v>
      </c>
      <c r="AN68" s="117">
        <f t="shared" si="64"/>
        <v>0.75</v>
      </c>
      <c r="AO68" s="117">
        <f t="shared" si="64"/>
        <v>0.75</v>
      </c>
      <c r="AP68" s="117">
        <f t="shared" si="64"/>
        <v>0.75</v>
      </c>
      <c r="AQ68" s="117">
        <f t="shared" si="64"/>
        <v>0.75</v>
      </c>
      <c r="AR68" s="117">
        <f t="shared" si="64"/>
        <v>0.75</v>
      </c>
      <c r="AS68" s="117">
        <f t="shared" si="64"/>
        <v>0.75</v>
      </c>
      <c r="AT68" s="117">
        <f t="shared" si="64"/>
        <v>0.75</v>
      </c>
      <c r="AU68" s="117">
        <f t="shared" si="64"/>
        <v>0.75</v>
      </c>
      <c r="AV68" s="117">
        <f t="shared" si="64"/>
        <v>0.75</v>
      </c>
      <c r="AW68" s="117">
        <f t="shared" si="64"/>
        <v>0.75</v>
      </c>
      <c r="AX68" s="117">
        <f t="shared" si="64"/>
        <v>0.75</v>
      </c>
      <c r="AY68" s="117">
        <f t="shared" si="64"/>
        <v>0.75</v>
      </c>
      <c r="AZ68" s="117">
        <f t="shared" si="64"/>
        <v>0.75</v>
      </c>
      <c r="BA68" s="117">
        <f t="shared" si="64"/>
        <v>0.75</v>
      </c>
      <c r="BB68" s="117">
        <f t="shared" si="64"/>
        <v>0.75</v>
      </c>
      <c r="BC68" s="117">
        <f t="shared" si="64"/>
        <v>0.75</v>
      </c>
      <c r="BD68" s="117">
        <f t="shared" si="64"/>
        <v>0.75</v>
      </c>
      <c r="BE68" s="117">
        <f t="shared" si="64"/>
        <v>0.75</v>
      </c>
      <c r="BF68" s="117">
        <f t="shared" si="64"/>
        <v>0.75</v>
      </c>
      <c r="BG68" s="117">
        <f t="shared" si="64"/>
        <v>0.75</v>
      </c>
      <c r="BH68" s="117">
        <f t="shared" si="64"/>
        <v>0.75</v>
      </c>
      <c r="BI68" s="117">
        <f t="shared" si="64"/>
        <v>0.75</v>
      </c>
      <c r="BJ68" s="117">
        <f t="shared" si="64"/>
        <v>0.75</v>
      </c>
    </row>
    <row r="69" spans="1:62" x14ac:dyDescent="0.25">
      <c r="A69" s="113" t="s">
        <v>577</v>
      </c>
      <c r="B69" s="113"/>
      <c r="C69" s="113">
        <f t="shared" ref="C69:N69" si="65">ROUND(SUM(C57:C68),0)</f>
        <v>1</v>
      </c>
      <c r="D69" s="113">
        <f t="shared" si="65"/>
        <v>1</v>
      </c>
      <c r="E69" s="113">
        <f t="shared" si="65"/>
        <v>1</v>
      </c>
      <c r="F69" s="113">
        <f t="shared" si="65"/>
        <v>1</v>
      </c>
      <c r="G69" s="113">
        <f t="shared" si="65"/>
        <v>1</v>
      </c>
      <c r="H69" s="113">
        <f t="shared" si="65"/>
        <v>1</v>
      </c>
      <c r="I69" s="113">
        <f t="shared" si="65"/>
        <v>1</v>
      </c>
      <c r="J69" s="113">
        <f t="shared" si="65"/>
        <v>3</v>
      </c>
      <c r="K69" s="113">
        <f t="shared" si="65"/>
        <v>4</v>
      </c>
      <c r="L69" s="113">
        <f t="shared" si="65"/>
        <v>6</v>
      </c>
      <c r="M69" s="113">
        <f t="shared" si="65"/>
        <v>8</v>
      </c>
      <c r="N69" s="113">
        <f t="shared" si="65"/>
        <v>10</v>
      </c>
      <c r="O69" s="113">
        <f t="shared" ref="O69:BJ69" si="66">ROUND(SUM(O57:O68),0)</f>
        <v>10</v>
      </c>
      <c r="P69" s="113">
        <f t="shared" si="66"/>
        <v>10</v>
      </c>
      <c r="Q69" s="113">
        <f t="shared" si="66"/>
        <v>10</v>
      </c>
      <c r="R69" s="113">
        <f t="shared" si="66"/>
        <v>10</v>
      </c>
      <c r="S69" s="113">
        <f t="shared" si="66"/>
        <v>10</v>
      </c>
      <c r="T69" s="113">
        <f t="shared" si="66"/>
        <v>10</v>
      </c>
      <c r="U69" s="113">
        <f t="shared" si="66"/>
        <v>10</v>
      </c>
      <c r="V69" s="113">
        <f t="shared" si="66"/>
        <v>10</v>
      </c>
      <c r="W69" s="113">
        <f t="shared" si="66"/>
        <v>10</v>
      </c>
      <c r="X69" s="113">
        <f t="shared" si="66"/>
        <v>11</v>
      </c>
      <c r="Y69" s="113">
        <f t="shared" si="66"/>
        <v>11</v>
      </c>
      <c r="Z69" s="113">
        <f t="shared" si="66"/>
        <v>11</v>
      </c>
      <c r="AA69" s="113">
        <f t="shared" si="66"/>
        <v>11</v>
      </c>
      <c r="AB69" s="113">
        <f t="shared" si="66"/>
        <v>11</v>
      </c>
      <c r="AC69" s="113">
        <f t="shared" si="66"/>
        <v>11</v>
      </c>
      <c r="AD69" s="113">
        <f t="shared" si="66"/>
        <v>11</v>
      </c>
      <c r="AE69" s="113">
        <f t="shared" si="66"/>
        <v>11</v>
      </c>
      <c r="AF69" s="113">
        <f t="shared" si="66"/>
        <v>11</v>
      </c>
      <c r="AG69" s="113">
        <f t="shared" si="66"/>
        <v>11</v>
      </c>
      <c r="AH69" s="113">
        <f t="shared" si="66"/>
        <v>11</v>
      </c>
      <c r="AI69" s="113">
        <f t="shared" si="66"/>
        <v>11</v>
      </c>
      <c r="AJ69" s="113">
        <f t="shared" si="66"/>
        <v>11</v>
      </c>
      <c r="AK69" s="113">
        <f t="shared" si="66"/>
        <v>11</v>
      </c>
      <c r="AL69" s="113">
        <f t="shared" si="66"/>
        <v>11</v>
      </c>
      <c r="AM69" s="113">
        <f t="shared" si="66"/>
        <v>11</v>
      </c>
      <c r="AN69" s="113">
        <f t="shared" si="66"/>
        <v>11</v>
      </c>
      <c r="AO69" s="113">
        <f t="shared" si="66"/>
        <v>11</v>
      </c>
      <c r="AP69" s="113">
        <f t="shared" si="66"/>
        <v>11</v>
      </c>
      <c r="AQ69" s="113">
        <f t="shared" si="66"/>
        <v>11</v>
      </c>
      <c r="AR69" s="113">
        <f t="shared" si="66"/>
        <v>11</v>
      </c>
      <c r="AS69" s="113">
        <f t="shared" si="66"/>
        <v>11</v>
      </c>
      <c r="AT69" s="113">
        <f t="shared" si="66"/>
        <v>11</v>
      </c>
      <c r="AU69" s="113">
        <f t="shared" si="66"/>
        <v>11</v>
      </c>
      <c r="AV69" s="113">
        <f t="shared" si="66"/>
        <v>11</v>
      </c>
      <c r="AW69" s="113">
        <f t="shared" si="66"/>
        <v>11</v>
      </c>
      <c r="AX69" s="113">
        <f t="shared" si="66"/>
        <v>11</v>
      </c>
      <c r="AY69" s="113">
        <f t="shared" si="66"/>
        <v>11</v>
      </c>
      <c r="AZ69" s="113">
        <f t="shared" si="66"/>
        <v>11</v>
      </c>
      <c r="BA69" s="113">
        <f t="shared" si="66"/>
        <v>11</v>
      </c>
      <c r="BB69" s="113">
        <f t="shared" si="66"/>
        <v>12</v>
      </c>
      <c r="BC69" s="113">
        <f t="shared" si="66"/>
        <v>12</v>
      </c>
      <c r="BD69" s="113">
        <f t="shared" si="66"/>
        <v>12</v>
      </c>
      <c r="BE69" s="113">
        <f t="shared" si="66"/>
        <v>12</v>
      </c>
      <c r="BF69" s="113">
        <f t="shared" si="66"/>
        <v>12</v>
      </c>
      <c r="BG69" s="113">
        <f t="shared" si="66"/>
        <v>12</v>
      </c>
      <c r="BH69" s="113">
        <f t="shared" si="66"/>
        <v>12</v>
      </c>
      <c r="BI69" s="113">
        <f t="shared" si="66"/>
        <v>12</v>
      </c>
      <c r="BJ69" s="113">
        <f t="shared" si="66"/>
        <v>12</v>
      </c>
    </row>
    <row r="70" spans="1:62" x14ac:dyDescent="0.25">
      <c r="A70" s="129" t="s">
        <v>578</v>
      </c>
      <c r="B70" s="129"/>
      <c r="C70" s="129">
        <f>C69</f>
        <v>1</v>
      </c>
      <c r="D70" s="129">
        <f>D69+C70</f>
        <v>2</v>
      </c>
      <c r="E70" s="129">
        <f t="shared" ref="E70:N70" si="67">E69+D70</f>
        <v>3</v>
      </c>
      <c r="F70" s="129">
        <f t="shared" si="67"/>
        <v>4</v>
      </c>
      <c r="G70" s="129">
        <f t="shared" si="67"/>
        <v>5</v>
      </c>
      <c r="H70" s="129">
        <f t="shared" si="67"/>
        <v>6</v>
      </c>
      <c r="I70" s="129">
        <f t="shared" si="67"/>
        <v>7</v>
      </c>
      <c r="J70" s="129">
        <f t="shared" si="67"/>
        <v>10</v>
      </c>
      <c r="K70" s="129">
        <f t="shared" si="67"/>
        <v>14</v>
      </c>
      <c r="L70" s="129">
        <f t="shared" si="67"/>
        <v>20</v>
      </c>
      <c r="M70" s="129">
        <f t="shared" si="67"/>
        <v>28</v>
      </c>
      <c r="N70" s="129">
        <f t="shared" si="67"/>
        <v>38</v>
      </c>
      <c r="O70" s="129">
        <f t="shared" ref="O70" si="68">O69+N70</f>
        <v>48</v>
      </c>
      <c r="P70" s="129">
        <f t="shared" ref="P70" si="69">P69+O70</f>
        <v>58</v>
      </c>
      <c r="Q70" s="129">
        <f t="shared" ref="Q70" si="70">Q69+P70</f>
        <v>68</v>
      </c>
      <c r="R70" s="129">
        <f t="shared" ref="R70" si="71">R69+Q70</f>
        <v>78</v>
      </c>
      <c r="S70" s="129">
        <f t="shared" ref="S70" si="72">S69+R70</f>
        <v>88</v>
      </c>
      <c r="T70" s="129">
        <f t="shared" ref="T70" si="73">T69+S70</f>
        <v>98</v>
      </c>
      <c r="U70" s="129">
        <f t="shared" ref="U70" si="74">U69+T70</f>
        <v>108</v>
      </c>
      <c r="V70" s="129">
        <f t="shared" ref="V70" si="75">V69+U70</f>
        <v>118</v>
      </c>
      <c r="W70" s="129">
        <f t="shared" ref="W70" si="76">W69+V70</f>
        <v>128</v>
      </c>
      <c r="X70" s="129">
        <f t="shared" ref="X70" si="77">X69+W70</f>
        <v>139</v>
      </c>
      <c r="Y70" s="129">
        <f t="shared" ref="Y70" si="78">Y69+X70</f>
        <v>150</v>
      </c>
      <c r="Z70" s="129">
        <f t="shared" ref="Z70" si="79">Z69+Y70</f>
        <v>161</v>
      </c>
      <c r="AA70" s="129">
        <f t="shared" ref="AA70" si="80">AA69+Z70</f>
        <v>172</v>
      </c>
      <c r="AB70" s="129">
        <f t="shared" ref="AB70" si="81">AB69+AA70</f>
        <v>183</v>
      </c>
      <c r="AC70" s="129">
        <f t="shared" ref="AC70" si="82">AC69+AB70</f>
        <v>194</v>
      </c>
      <c r="AD70" s="129">
        <f t="shared" ref="AD70" si="83">AD69+AC70</f>
        <v>205</v>
      </c>
      <c r="AE70" s="129">
        <f t="shared" ref="AE70" si="84">AE69+AD70</f>
        <v>216</v>
      </c>
      <c r="AF70" s="129">
        <f t="shared" ref="AF70" si="85">AF69+AE70</f>
        <v>227</v>
      </c>
      <c r="AG70" s="129">
        <f t="shared" ref="AG70" si="86">AG69+AF70</f>
        <v>238</v>
      </c>
      <c r="AH70" s="129">
        <f t="shared" ref="AH70" si="87">AH69+AG70</f>
        <v>249</v>
      </c>
      <c r="AI70" s="129">
        <f t="shared" ref="AI70" si="88">AI69+AH70</f>
        <v>260</v>
      </c>
      <c r="AJ70" s="129">
        <f t="shared" ref="AJ70" si="89">AJ69+AI70</f>
        <v>271</v>
      </c>
      <c r="AK70" s="129">
        <f t="shared" ref="AK70" si="90">AK69+AJ70</f>
        <v>282</v>
      </c>
      <c r="AL70" s="129">
        <f t="shared" ref="AL70" si="91">AL69+AK70</f>
        <v>293</v>
      </c>
      <c r="AM70" s="129">
        <f t="shared" ref="AM70" si="92">AM69+AL70</f>
        <v>304</v>
      </c>
      <c r="AN70" s="129">
        <f t="shared" ref="AN70" si="93">AN69+AM70</f>
        <v>315</v>
      </c>
      <c r="AO70" s="129">
        <f t="shared" ref="AO70" si="94">AO69+AN70</f>
        <v>326</v>
      </c>
      <c r="AP70" s="129">
        <f t="shared" ref="AP70" si="95">AP69+AO70</f>
        <v>337</v>
      </c>
      <c r="AQ70" s="129">
        <f t="shared" ref="AQ70" si="96">AQ69+AP70</f>
        <v>348</v>
      </c>
      <c r="AR70" s="129">
        <f t="shared" ref="AR70" si="97">AR69+AQ70</f>
        <v>359</v>
      </c>
      <c r="AS70" s="129">
        <f t="shared" ref="AS70" si="98">AS69+AR70</f>
        <v>370</v>
      </c>
      <c r="AT70" s="129">
        <f t="shared" ref="AT70" si="99">AT69+AS70</f>
        <v>381</v>
      </c>
      <c r="AU70" s="129">
        <f t="shared" ref="AU70" si="100">AU69+AT70</f>
        <v>392</v>
      </c>
      <c r="AV70" s="129">
        <f t="shared" ref="AV70" si="101">AV69+AU70</f>
        <v>403</v>
      </c>
      <c r="AW70" s="129">
        <f t="shared" ref="AW70" si="102">AW69+AV70</f>
        <v>414</v>
      </c>
      <c r="AX70" s="129">
        <f t="shared" ref="AX70" si="103">AX69+AW70</f>
        <v>425</v>
      </c>
      <c r="AY70" s="129">
        <f t="shared" ref="AY70" si="104">AY69+AX70</f>
        <v>436</v>
      </c>
      <c r="AZ70" s="129">
        <f t="shared" ref="AZ70" si="105">AZ69+AY70</f>
        <v>447</v>
      </c>
      <c r="BA70" s="129">
        <f t="shared" ref="BA70" si="106">BA69+AZ70</f>
        <v>458</v>
      </c>
      <c r="BB70" s="129">
        <f t="shared" ref="BB70" si="107">BB69+BA70</f>
        <v>470</v>
      </c>
      <c r="BC70" s="129">
        <f t="shared" ref="BC70" si="108">BC69+BB70</f>
        <v>482</v>
      </c>
      <c r="BD70" s="129">
        <f t="shared" ref="BD70" si="109">BD69+BC70</f>
        <v>494</v>
      </c>
      <c r="BE70" s="129">
        <f t="shared" ref="BE70" si="110">BE69+BD70</f>
        <v>506</v>
      </c>
      <c r="BF70" s="129">
        <f t="shared" ref="BF70" si="111">BF69+BE70</f>
        <v>518</v>
      </c>
      <c r="BG70" s="129">
        <f t="shared" ref="BG70" si="112">BG69+BF70</f>
        <v>530</v>
      </c>
      <c r="BH70" s="129">
        <f t="shared" ref="BH70" si="113">BH69+BG70</f>
        <v>542</v>
      </c>
      <c r="BI70" s="129">
        <f t="shared" ref="BI70" si="114">BI69+BH70</f>
        <v>554</v>
      </c>
      <c r="BJ70" s="129">
        <f t="shared" ref="BJ70" si="115">BJ69+BI70</f>
        <v>566</v>
      </c>
    </row>
    <row r="71" spans="1:62" x14ac:dyDescent="0.25">
      <c r="A71" s="526" t="s">
        <v>214</v>
      </c>
      <c r="B71" s="53"/>
      <c r="C71" s="328">
        <f>C70*$G$4</f>
        <v>0.3</v>
      </c>
      <c r="D71" s="328">
        <f t="shared" ref="D71:N71" si="116">D70*$G$4</f>
        <v>0.6</v>
      </c>
      <c r="E71" s="328">
        <f t="shared" si="116"/>
        <v>0.89999999999999991</v>
      </c>
      <c r="F71" s="328">
        <f t="shared" si="116"/>
        <v>1.2</v>
      </c>
      <c r="G71" s="328">
        <f t="shared" si="116"/>
        <v>1.5</v>
      </c>
      <c r="H71" s="328">
        <f t="shared" si="116"/>
        <v>1.7999999999999998</v>
      </c>
      <c r="I71" s="328">
        <f t="shared" si="116"/>
        <v>2.1</v>
      </c>
      <c r="J71" s="328">
        <f t="shared" si="116"/>
        <v>3</v>
      </c>
      <c r="K71" s="328">
        <f t="shared" si="116"/>
        <v>4.2</v>
      </c>
      <c r="L71" s="328">
        <f t="shared" si="116"/>
        <v>6</v>
      </c>
      <c r="M71" s="328">
        <f t="shared" si="116"/>
        <v>8.4</v>
      </c>
      <c r="N71" s="328">
        <f t="shared" si="116"/>
        <v>11.4</v>
      </c>
      <c r="O71" s="328">
        <f>O70*$H$4</f>
        <v>13.391999999999999</v>
      </c>
      <c r="P71" s="328">
        <f t="shared" ref="P71:Z71" si="117">P70*$H$4</f>
        <v>16.181999999999999</v>
      </c>
      <c r="Q71" s="328">
        <f t="shared" si="117"/>
        <v>18.971999999999998</v>
      </c>
      <c r="R71" s="328">
        <f t="shared" si="117"/>
        <v>21.761999999999997</v>
      </c>
      <c r="S71" s="328">
        <f t="shared" si="117"/>
        <v>24.551999999999996</v>
      </c>
      <c r="T71" s="328">
        <f t="shared" si="117"/>
        <v>27.341999999999999</v>
      </c>
      <c r="U71" s="328">
        <f t="shared" si="117"/>
        <v>30.131999999999998</v>
      </c>
      <c r="V71" s="328">
        <f t="shared" si="117"/>
        <v>32.921999999999997</v>
      </c>
      <c r="W71" s="328">
        <f t="shared" si="117"/>
        <v>35.711999999999996</v>
      </c>
      <c r="X71" s="328">
        <f t="shared" si="117"/>
        <v>38.780999999999999</v>
      </c>
      <c r="Y71" s="328">
        <f t="shared" si="117"/>
        <v>41.849999999999994</v>
      </c>
      <c r="Z71" s="328">
        <f t="shared" si="117"/>
        <v>44.918999999999997</v>
      </c>
      <c r="AA71" s="328">
        <f>AA70*$I$4</f>
        <v>45.108719999999998</v>
      </c>
      <c r="AB71" s="328">
        <f t="shared" ref="AB71:AL71" si="118">AB70*$I$4</f>
        <v>47.993580000000001</v>
      </c>
      <c r="AC71" s="328">
        <f t="shared" si="118"/>
        <v>50.878439999999998</v>
      </c>
      <c r="AD71" s="328">
        <f t="shared" si="118"/>
        <v>53.763300000000001</v>
      </c>
      <c r="AE71" s="328">
        <f t="shared" si="118"/>
        <v>56.648159999999997</v>
      </c>
      <c r="AF71" s="328">
        <f t="shared" si="118"/>
        <v>59.53302</v>
      </c>
      <c r="AG71" s="328">
        <f t="shared" si="118"/>
        <v>62.417879999999997</v>
      </c>
      <c r="AH71" s="328">
        <f t="shared" si="118"/>
        <v>65.30274</v>
      </c>
      <c r="AI71" s="328">
        <f t="shared" si="118"/>
        <v>68.187600000000003</v>
      </c>
      <c r="AJ71" s="328">
        <f t="shared" si="118"/>
        <v>71.072459999999992</v>
      </c>
      <c r="AK71" s="328">
        <f t="shared" si="118"/>
        <v>73.957319999999996</v>
      </c>
      <c r="AL71" s="328">
        <f t="shared" si="118"/>
        <v>76.842179999999999</v>
      </c>
      <c r="AM71" s="328">
        <f>AM70*$J$4</f>
        <v>76.537958399999994</v>
      </c>
      <c r="AN71" s="328">
        <f t="shared" ref="AN71:AX71" si="119">AN70*$J$4</f>
        <v>79.307423999999997</v>
      </c>
      <c r="AO71" s="328">
        <f t="shared" si="119"/>
        <v>82.076889600000001</v>
      </c>
      <c r="AP71" s="328">
        <f t="shared" si="119"/>
        <v>84.846355199999991</v>
      </c>
      <c r="AQ71" s="328">
        <f t="shared" si="119"/>
        <v>87.615820799999995</v>
      </c>
      <c r="AR71" s="328">
        <f t="shared" si="119"/>
        <v>90.385286399999998</v>
      </c>
      <c r="AS71" s="328">
        <f t="shared" si="119"/>
        <v>93.154751999999988</v>
      </c>
      <c r="AT71" s="328">
        <f t="shared" si="119"/>
        <v>95.924217599999992</v>
      </c>
      <c r="AU71" s="328">
        <f t="shared" si="119"/>
        <v>98.693683199999995</v>
      </c>
      <c r="AV71" s="328">
        <f t="shared" si="119"/>
        <v>101.4631488</v>
      </c>
      <c r="AW71" s="328">
        <f t="shared" si="119"/>
        <v>104.23261439999999</v>
      </c>
      <c r="AX71" s="328">
        <f t="shared" si="119"/>
        <v>107.00207999999999</v>
      </c>
      <c r="AY71" s="328">
        <f>AY70*$K$4</f>
        <v>106.478399232</v>
      </c>
      <c r="AZ71" s="328">
        <f t="shared" ref="AZ71:BJ71" si="120">AZ70*$K$4</f>
        <v>109.16478086399999</v>
      </c>
      <c r="BA71" s="328">
        <f t="shared" si="120"/>
        <v>111.851162496</v>
      </c>
      <c r="BB71" s="328">
        <f t="shared" si="120"/>
        <v>114.78176064</v>
      </c>
      <c r="BC71" s="328">
        <f t="shared" si="120"/>
        <v>117.712358784</v>
      </c>
      <c r="BD71" s="328">
        <f t="shared" si="120"/>
        <v>120.642956928</v>
      </c>
      <c r="BE71" s="328">
        <f t="shared" si="120"/>
        <v>123.573555072</v>
      </c>
      <c r="BF71" s="328">
        <f t="shared" si="120"/>
        <v>126.50415321599999</v>
      </c>
      <c r="BG71" s="328">
        <f t="shared" si="120"/>
        <v>129.43475136000001</v>
      </c>
      <c r="BH71" s="328">
        <f t="shared" si="120"/>
        <v>132.36534950399999</v>
      </c>
      <c r="BI71" s="328">
        <f t="shared" si="120"/>
        <v>135.29594764800001</v>
      </c>
      <c r="BJ71" s="328">
        <f t="shared" si="120"/>
        <v>138.226545792</v>
      </c>
    </row>
    <row r="72" spans="1:62" x14ac:dyDescent="0.25">
      <c r="A72" s="526" t="s">
        <v>213</v>
      </c>
      <c r="B72" s="53"/>
      <c r="C72" s="328">
        <f>C70*$G$5</f>
        <v>0.7</v>
      </c>
      <c r="D72" s="328">
        <f t="shared" ref="D72:N72" si="121">D70*$G$5</f>
        <v>1.4</v>
      </c>
      <c r="E72" s="328">
        <f t="shared" si="121"/>
        <v>2.0999999999999996</v>
      </c>
      <c r="F72" s="328">
        <f t="shared" si="121"/>
        <v>2.8</v>
      </c>
      <c r="G72" s="328">
        <f t="shared" si="121"/>
        <v>3.5</v>
      </c>
      <c r="H72" s="328">
        <f t="shared" si="121"/>
        <v>4.1999999999999993</v>
      </c>
      <c r="I72" s="328">
        <f t="shared" si="121"/>
        <v>4.8999999999999995</v>
      </c>
      <c r="J72" s="328">
        <f t="shared" si="121"/>
        <v>7</v>
      </c>
      <c r="K72" s="328">
        <f t="shared" si="121"/>
        <v>9.7999999999999989</v>
      </c>
      <c r="L72" s="328">
        <f t="shared" si="121"/>
        <v>14</v>
      </c>
      <c r="M72" s="328">
        <f t="shared" si="121"/>
        <v>19.599999999999998</v>
      </c>
      <c r="N72" s="328">
        <f t="shared" si="121"/>
        <v>26.599999999999998</v>
      </c>
      <c r="O72" s="328">
        <f>O70*$H$5</f>
        <v>34.607999999999997</v>
      </c>
      <c r="P72" s="328">
        <f t="shared" ref="P72:Z72" si="122">P70*$H$5</f>
        <v>41.817999999999998</v>
      </c>
      <c r="Q72" s="328">
        <f t="shared" si="122"/>
        <v>49.027999999999999</v>
      </c>
      <c r="R72" s="328">
        <f t="shared" si="122"/>
        <v>56.238</v>
      </c>
      <c r="S72" s="328">
        <f t="shared" si="122"/>
        <v>63.448</v>
      </c>
      <c r="T72" s="328">
        <f t="shared" si="122"/>
        <v>70.658000000000001</v>
      </c>
      <c r="U72" s="328">
        <f t="shared" si="122"/>
        <v>77.867999999999995</v>
      </c>
      <c r="V72" s="328">
        <f t="shared" si="122"/>
        <v>85.078000000000003</v>
      </c>
      <c r="W72" s="328">
        <f t="shared" si="122"/>
        <v>92.287999999999997</v>
      </c>
      <c r="X72" s="328">
        <f t="shared" si="122"/>
        <v>100.21899999999999</v>
      </c>
      <c r="Y72" s="328">
        <f t="shared" si="122"/>
        <v>108.14999999999999</v>
      </c>
      <c r="Z72" s="328">
        <f t="shared" si="122"/>
        <v>116.08099999999999</v>
      </c>
      <c r="AA72" s="328">
        <f>AA70*$I$5</f>
        <v>126.49224</v>
      </c>
      <c r="AB72" s="328">
        <f t="shared" ref="AB72:AL72" si="123">AB70*$I$5</f>
        <v>134.58186000000001</v>
      </c>
      <c r="AC72" s="328">
        <f t="shared" si="123"/>
        <v>142.67148</v>
      </c>
      <c r="AD72" s="328">
        <f t="shared" si="123"/>
        <v>150.7611</v>
      </c>
      <c r="AE72" s="328">
        <f t="shared" si="123"/>
        <v>158.85072</v>
      </c>
      <c r="AF72" s="328">
        <f t="shared" si="123"/>
        <v>166.94033999999999</v>
      </c>
      <c r="AG72" s="328">
        <f t="shared" si="123"/>
        <v>175.02995999999999</v>
      </c>
      <c r="AH72" s="328">
        <f t="shared" si="123"/>
        <v>183.11957999999998</v>
      </c>
      <c r="AI72" s="328">
        <f t="shared" si="123"/>
        <v>191.20919999999998</v>
      </c>
      <c r="AJ72" s="328">
        <f t="shared" si="123"/>
        <v>199.29881999999998</v>
      </c>
      <c r="AK72" s="328">
        <f t="shared" si="123"/>
        <v>207.38844</v>
      </c>
      <c r="AL72" s="328">
        <f t="shared" si="123"/>
        <v>215.47806</v>
      </c>
      <c r="AM72" s="328">
        <f>AM70*$J$5</f>
        <v>226.92119519999997</v>
      </c>
      <c r="AN72" s="328">
        <f t="shared" ref="AN72:AX72" si="124">AN70*$J$5</f>
        <v>235.13215949999997</v>
      </c>
      <c r="AO72" s="328">
        <f t="shared" si="124"/>
        <v>243.34312379999997</v>
      </c>
      <c r="AP72" s="328">
        <f t="shared" si="124"/>
        <v>251.55408809999997</v>
      </c>
      <c r="AQ72" s="328">
        <f t="shared" si="124"/>
        <v>259.7650524</v>
      </c>
      <c r="AR72" s="328">
        <f t="shared" si="124"/>
        <v>267.9760167</v>
      </c>
      <c r="AS72" s="328">
        <f t="shared" si="124"/>
        <v>276.18698099999995</v>
      </c>
      <c r="AT72" s="328">
        <f t="shared" si="124"/>
        <v>284.39794529999995</v>
      </c>
      <c r="AU72" s="328">
        <f t="shared" si="124"/>
        <v>292.60890959999995</v>
      </c>
      <c r="AV72" s="328">
        <f t="shared" si="124"/>
        <v>300.81987389999995</v>
      </c>
      <c r="AW72" s="328">
        <f t="shared" si="124"/>
        <v>309.03083819999995</v>
      </c>
      <c r="AX72" s="328">
        <f t="shared" si="124"/>
        <v>317.24180249999995</v>
      </c>
      <c r="AY72" s="328">
        <f>AY70*$K$5</f>
        <v>329.68365276839995</v>
      </c>
      <c r="AZ72" s="328">
        <f t="shared" ref="AZ72:BJ72" si="125">AZ70*$K$5</f>
        <v>338.00135960429998</v>
      </c>
      <c r="BA72" s="328">
        <f t="shared" si="125"/>
        <v>346.3190664402</v>
      </c>
      <c r="BB72" s="328">
        <f t="shared" si="125"/>
        <v>355.39292844299996</v>
      </c>
      <c r="BC72" s="328">
        <f t="shared" si="125"/>
        <v>364.46679044579997</v>
      </c>
      <c r="BD72" s="328">
        <f t="shared" si="125"/>
        <v>373.54065244859999</v>
      </c>
      <c r="BE72" s="328">
        <f t="shared" si="125"/>
        <v>382.6145144514</v>
      </c>
      <c r="BF72" s="328">
        <f t="shared" si="125"/>
        <v>391.68837645419995</v>
      </c>
      <c r="BG72" s="328">
        <f t="shared" si="125"/>
        <v>400.76223845699997</v>
      </c>
      <c r="BH72" s="328">
        <f t="shared" si="125"/>
        <v>409.83610045979998</v>
      </c>
      <c r="BI72" s="328">
        <f t="shared" si="125"/>
        <v>418.90996246259999</v>
      </c>
      <c r="BJ72" s="328">
        <f t="shared" si="125"/>
        <v>427.98382446539995</v>
      </c>
    </row>
    <row r="74" spans="1:62" x14ac:dyDescent="0.25">
      <c r="A74" s="3" t="s">
        <v>240</v>
      </c>
      <c r="B74" s="131"/>
      <c r="C74" s="131">
        <v>43831</v>
      </c>
      <c r="D74" s="131">
        <v>43862</v>
      </c>
      <c r="E74" s="131">
        <v>43891</v>
      </c>
      <c r="F74" s="131">
        <v>43922</v>
      </c>
      <c r="G74" s="131">
        <v>43952</v>
      </c>
      <c r="H74" s="131">
        <v>43983</v>
      </c>
      <c r="I74" s="131">
        <v>44013</v>
      </c>
      <c r="J74" s="131">
        <v>44044</v>
      </c>
      <c r="K74" s="131">
        <v>44075</v>
      </c>
      <c r="L74" s="131">
        <v>44105</v>
      </c>
      <c r="M74" s="131">
        <v>44136</v>
      </c>
      <c r="N74" s="131">
        <v>44166</v>
      </c>
      <c r="O74" s="131">
        <v>44197</v>
      </c>
      <c r="P74" s="131">
        <v>44228</v>
      </c>
      <c r="Q74" s="131">
        <v>44256</v>
      </c>
      <c r="R74" s="131">
        <v>44287</v>
      </c>
      <c r="S74" s="131">
        <v>44317</v>
      </c>
      <c r="T74" s="131">
        <v>44348</v>
      </c>
      <c r="U74" s="131">
        <v>44378</v>
      </c>
      <c r="V74" s="131">
        <v>44409</v>
      </c>
      <c r="W74" s="131">
        <v>44440</v>
      </c>
      <c r="X74" s="131">
        <v>44470</v>
      </c>
      <c r="Y74" s="131">
        <v>44501</v>
      </c>
      <c r="Z74" s="131">
        <v>44531</v>
      </c>
      <c r="AA74" s="131">
        <v>44562</v>
      </c>
      <c r="AB74" s="131">
        <v>44593</v>
      </c>
      <c r="AC74" s="131">
        <v>44621</v>
      </c>
      <c r="AD74" s="131">
        <v>44652</v>
      </c>
      <c r="AE74" s="131">
        <v>44682</v>
      </c>
      <c r="AF74" s="131">
        <v>44713</v>
      </c>
      <c r="AG74" s="131">
        <v>44743</v>
      </c>
      <c r="AH74" s="131">
        <v>44774</v>
      </c>
      <c r="AI74" s="131">
        <v>44805</v>
      </c>
      <c r="AJ74" s="131">
        <v>44835</v>
      </c>
      <c r="AK74" s="131">
        <v>44866</v>
      </c>
      <c r="AL74" s="131">
        <v>44896</v>
      </c>
      <c r="AM74" s="131">
        <v>44927</v>
      </c>
      <c r="AN74" s="131">
        <v>44958</v>
      </c>
      <c r="AO74" s="131">
        <v>44986</v>
      </c>
      <c r="AP74" s="131">
        <v>45017</v>
      </c>
      <c r="AQ74" s="131">
        <v>45047</v>
      </c>
      <c r="AR74" s="131">
        <v>45078</v>
      </c>
      <c r="AS74" s="131">
        <v>45108</v>
      </c>
      <c r="AT74" s="131">
        <v>45139</v>
      </c>
      <c r="AU74" s="131">
        <v>45170</v>
      </c>
      <c r="AV74" s="131">
        <v>45200</v>
      </c>
      <c r="AW74" s="131">
        <v>45231</v>
      </c>
      <c r="AX74" s="131">
        <v>45261</v>
      </c>
      <c r="AY74" s="131">
        <v>45292</v>
      </c>
      <c r="AZ74" s="131">
        <v>45323</v>
      </c>
      <c r="BA74" s="131">
        <v>45352</v>
      </c>
      <c r="BB74" s="131">
        <v>45383</v>
      </c>
      <c r="BC74" s="131">
        <v>45413</v>
      </c>
      <c r="BD74" s="131">
        <v>45444</v>
      </c>
      <c r="BE74" s="131">
        <v>45474</v>
      </c>
      <c r="BF74" s="131">
        <v>45505</v>
      </c>
      <c r="BG74" s="131">
        <v>45536</v>
      </c>
      <c r="BH74" s="131">
        <v>45566</v>
      </c>
      <c r="BI74" s="131">
        <v>45597</v>
      </c>
      <c r="BJ74" s="131">
        <v>45627</v>
      </c>
    </row>
    <row r="75" spans="1:62" outlineLevel="1" x14ac:dyDescent="0.25">
      <c r="A75" s="93" t="s">
        <v>178</v>
      </c>
      <c r="B75" s="122"/>
      <c r="C75" s="123">
        <f>SUM(C76:C77)</f>
        <v>1820</v>
      </c>
      <c r="D75" s="123">
        <f t="shared" ref="D75:N75" si="126">SUM(D76:D77)</f>
        <v>1820</v>
      </c>
      <c r="E75" s="123">
        <f t="shared" si="126"/>
        <v>1820</v>
      </c>
      <c r="F75" s="123">
        <f t="shared" si="126"/>
        <v>1820</v>
      </c>
      <c r="G75" s="123">
        <f t="shared" si="126"/>
        <v>1820</v>
      </c>
      <c r="H75" s="123">
        <f t="shared" si="126"/>
        <v>1820</v>
      </c>
      <c r="I75" s="123">
        <f t="shared" si="126"/>
        <v>1820</v>
      </c>
      <c r="J75" s="123">
        <f t="shared" si="126"/>
        <v>1820</v>
      </c>
      <c r="K75" s="123">
        <f t="shared" si="126"/>
        <v>1820</v>
      </c>
      <c r="L75" s="123">
        <f t="shared" si="126"/>
        <v>1820</v>
      </c>
      <c r="M75" s="123">
        <f t="shared" si="126"/>
        <v>1820</v>
      </c>
      <c r="N75" s="123">
        <f t="shared" si="126"/>
        <v>1820</v>
      </c>
      <c r="O75" s="123">
        <f t="shared" ref="O75:BA75" si="127">SUM(O76:O77)</f>
        <v>1820</v>
      </c>
      <c r="P75" s="123">
        <f t="shared" si="127"/>
        <v>1820</v>
      </c>
      <c r="Q75" s="123">
        <f t="shared" si="127"/>
        <v>1820</v>
      </c>
      <c r="R75" s="123">
        <f t="shared" si="127"/>
        <v>1820</v>
      </c>
      <c r="S75" s="123">
        <f t="shared" si="127"/>
        <v>1820</v>
      </c>
      <c r="T75" s="123">
        <f t="shared" si="127"/>
        <v>1820</v>
      </c>
      <c r="U75" s="123">
        <f t="shared" si="127"/>
        <v>1820</v>
      </c>
      <c r="V75" s="123">
        <f t="shared" si="127"/>
        <v>1820</v>
      </c>
      <c r="W75" s="123">
        <f t="shared" si="127"/>
        <v>1820</v>
      </c>
      <c r="X75" s="123">
        <f t="shared" si="127"/>
        <v>1820</v>
      </c>
      <c r="Y75" s="123">
        <f t="shared" si="127"/>
        <v>1820</v>
      </c>
      <c r="Z75" s="123">
        <f t="shared" si="127"/>
        <v>1820</v>
      </c>
      <c r="AA75" s="123">
        <f t="shared" si="127"/>
        <v>1820</v>
      </c>
      <c r="AB75" s="123">
        <f t="shared" si="127"/>
        <v>1820</v>
      </c>
      <c r="AC75" s="123">
        <f t="shared" si="127"/>
        <v>1820</v>
      </c>
      <c r="AD75" s="123">
        <f t="shared" si="127"/>
        <v>1820</v>
      </c>
      <c r="AE75" s="123">
        <f t="shared" si="127"/>
        <v>1820</v>
      </c>
      <c r="AF75" s="123">
        <f t="shared" si="127"/>
        <v>1820</v>
      </c>
      <c r="AG75" s="123">
        <f t="shared" si="127"/>
        <v>1820</v>
      </c>
      <c r="AH75" s="123">
        <f t="shared" si="127"/>
        <v>1820</v>
      </c>
      <c r="AI75" s="123">
        <f t="shared" si="127"/>
        <v>1820</v>
      </c>
      <c r="AJ75" s="123">
        <f t="shared" si="127"/>
        <v>1820</v>
      </c>
      <c r="AK75" s="123">
        <f t="shared" si="127"/>
        <v>1820</v>
      </c>
      <c r="AL75" s="123">
        <f t="shared" si="127"/>
        <v>1820</v>
      </c>
      <c r="AM75" s="123">
        <f t="shared" si="127"/>
        <v>1820</v>
      </c>
      <c r="AN75" s="123">
        <f t="shared" si="127"/>
        <v>1820</v>
      </c>
      <c r="AO75" s="123">
        <f t="shared" si="127"/>
        <v>1820</v>
      </c>
      <c r="AP75" s="123">
        <f t="shared" si="127"/>
        <v>1820</v>
      </c>
      <c r="AQ75" s="123">
        <f t="shared" si="127"/>
        <v>1820</v>
      </c>
      <c r="AR75" s="123">
        <f t="shared" si="127"/>
        <v>1820</v>
      </c>
      <c r="AS75" s="123">
        <f t="shared" si="127"/>
        <v>1820</v>
      </c>
      <c r="AT75" s="123">
        <f t="shared" si="127"/>
        <v>1820</v>
      </c>
      <c r="AU75" s="123">
        <f t="shared" si="127"/>
        <v>1820</v>
      </c>
      <c r="AV75" s="123">
        <f t="shared" si="127"/>
        <v>1820</v>
      </c>
      <c r="AW75" s="123">
        <f t="shared" si="127"/>
        <v>1820</v>
      </c>
      <c r="AX75" s="123">
        <f t="shared" si="127"/>
        <v>1820</v>
      </c>
      <c r="AY75" s="123">
        <f t="shared" si="127"/>
        <v>1820</v>
      </c>
      <c r="AZ75" s="123">
        <f t="shared" si="127"/>
        <v>1820</v>
      </c>
      <c r="BA75" s="123">
        <f t="shared" si="127"/>
        <v>1820</v>
      </c>
      <c r="BB75" s="123">
        <f t="shared" ref="BB75:BJ75" si="128">SUM(BB76:BB77)</f>
        <v>1820</v>
      </c>
      <c r="BC75" s="123">
        <f t="shared" si="128"/>
        <v>1820</v>
      </c>
      <c r="BD75" s="123">
        <f t="shared" si="128"/>
        <v>1820</v>
      </c>
      <c r="BE75" s="123">
        <f t="shared" si="128"/>
        <v>1820</v>
      </c>
      <c r="BF75" s="123">
        <f t="shared" si="128"/>
        <v>1820</v>
      </c>
      <c r="BG75" s="123">
        <f t="shared" si="128"/>
        <v>1820</v>
      </c>
      <c r="BH75" s="123">
        <f t="shared" si="128"/>
        <v>1820</v>
      </c>
      <c r="BI75" s="123">
        <f t="shared" si="128"/>
        <v>1820</v>
      </c>
      <c r="BJ75" s="123">
        <f t="shared" si="128"/>
        <v>1820</v>
      </c>
    </row>
    <row r="76" spans="1:62" outlineLevel="1" x14ac:dyDescent="0.25">
      <c r="A76" s="118" t="s">
        <v>214</v>
      </c>
      <c r="B76" s="119">
        <f>B17</f>
        <v>4000</v>
      </c>
      <c r="C76" s="119">
        <f t="shared" ref="C76:N76" si="129">C57*$G$4*$B$76</f>
        <v>840.00000000000011</v>
      </c>
      <c r="D76" s="119">
        <f t="shared" si="129"/>
        <v>840.00000000000011</v>
      </c>
      <c r="E76" s="119">
        <f t="shared" si="129"/>
        <v>840.00000000000011</v>
      </c>
      <c r="F76" s="119">
        <f t="shared" si="129"/>
        <v>840.00000000000011</v>
      </c>
      <c r="G76" s="119">
        <f t="shared" si="129"/>
        <v>840.00000000000011</v>
      </c>
      <c r="H76" s="119">
        <f t="shared" si="129"/>
        <v>840.00000000000011</v>
      </c>
      <c r="I76" s="119">
        <f t="shared" si="129"/>
        <v>840.00000000000011</v>
      </c>
      <c r="J76" s="119">
        <f t="shared" si="129"/>
        <v>840.00000000000011</v>
      </c>
      <c r="K76" s="119">
        <f t="shared" si="129"/>
        <v>840.00000000000011</v>
      </c>
      <c r="L76" s="119">
        <f t="shared" si="129"/>
        <v>840.00000000000011</v>
      </c>
      <c r="M76" s="119">
        <f t="shared" si="129"/>
        <v>840.00000000000011</v>
      </c>
      <c r="N76" s="119">
        <f t="shared" si="129"/>
        <v>840.00000000000011</v>
      </c>
      <c r="O76" s="119">
        <f t="shared" ref="O76:AZ76" si="130">O57*$G$4*$B$76</f>
        <v>840.00000000000011</v>
      </c>
      <c r="P76" s="119">
        <f t="shared" si="130"/>
        <v>840.00000000000011</v>
      </c>
      <c r="Q76" s="119">
        <f t="shared" si="130"/>
        <v>840.00000000000011</v>
      </c>
      <c r="R76" s="119">
        <f t="shared" si="130"/>
        <v>840.00000000000011</v>
      </c>
      <c r="S76" s="119">
        <f t="shared" si="130"/>
        <v>840.00000000000011</v>
      </c>
      <c r="T76" s="119">
        <f t="shared" si="130"/>
        <v>840.00000000000011</v>
      </c>
      <c r="U76" s="119">
        <f t="shared" si="130"/>
        <v>840.00000000000011</v>
      </c>
      <c r="V76" s="119">
        <f t="shared" si="130"/>
        <v>840.00000000000011</v>
      </c>
      <c r="W76" s="119">
        <f t="shared" si="130"/>
        <v>840.00000000000011</v>
      </c>
      <c r="X76" s="119">
        <f t="shared" si="130"/>
        <v>840.00000000000011</v>
      </c>
      <c r="Y76" s="119">
        <f t="shared" si="130"/>
        <v>840.00000000000011</v>
      </c>
      <c r="Z76" s="119">
        <f t="shared" si="130"/>
        <v>840.00000000000011</v>
      </c>
      <c r="AA76" s="119">
        <f t="shared" si="130"/>
        <v>840.00000000000011</v>
      </c>
      <c r="AB76" s="119">
        <f t="shared" si="130"/>
        <v>840.00000000000011</v>
      </c>
      <c r="AC76" s="119">
        <f t="shared" si="130"/>
        <v>840.00000000000011</v>
      </c>
      <c r="AD76" s="119">
        <f t="shared" si="130"/>
        <v>840.00000000000011</v>
      </c>
      <c r="AE76" s="119">
        <f t="shared" si="130"/>
        <v>840.00000000000011</v>
      </c>
      <c r="AF76" s="119">
        <f t="shared" si="130"/>
        <v>840.00000000000011</v>
      </c>
      <c r="AG76" s="119">
        <f t="shared" si="130"/>
        <v>840.00000000000011</v>
      </c>
      <c r="AH76" s="119">
        <f t="shared" si="130"/>
        <v>840.00000000000011</v>
      </c>
      <c r="AI76" s="119">
        <f t="shared" si="130"/>
        <v>840.00000000000011</v>
      </c>
      <c r="AJ76" s="119">
        <f t="shared" si="130"/>
        <v>840.00000000000011</v>
      </c>
      <c r="AK76" s="119">
        <f t="shared" si="130"/>
        <v>840.00000000000011</v>
      </c>
      <c r="AL76" s="119">
        <f t="shared" si="130"/>
        <v>840.00000000000011</v>
      </c>
      <c r="AM76" s="119">
        <f t="shared" si="130"/>
        <v>840.00000000000011</v>
      </c>
      <c r="AN76" s="119">
        <f t="shared" si="130"/>
        <v>840.00000000000011</v>
      </c>
      <c r="AO76" s="119">
        <f t="shared" si="130"/>
        <v>840.00000000000011</v>
      </c>
      <c r="AP76" s="119">
        <f t="shared" si="130"/>
        <v>840.00000000000011</v>
      </c>
      <c r="AQ76" s="119">
        <f t="shared" si="130"/>
        <v>840.00000000000011</v>
      </c>
      <c r="AR76" s="119">
        <f t="shared" si="130"/>
        <v>840.00000000000011</v>
      </c>
      <c r="AS76" s="119">
        <f t="shared" si="130"/>
        <v>840.00000000000011</v>
      </c>
      <c r="AT76" s="119">
        <f t="shared" si="130"/>
        <v>840.00000000000011</v>
      </c>
      <c r="AU76" s="119">
        <f t="shared" si="130"/>
        <v>840.00000000000011</v>
      </c>
      <c r="AV76" s="119">
        <f t="shared" si="130"/>
        <v>840.00000000000011</v>
      </c>
      <c r="AW76" s="119">
        <f t="shared" si="130"/>
        <v>840.00000000000011</v>
      </c>
      <c r="AX76" s="119">
        <f t="shared" si="130"/>
        <v>840.00000000000011</v>
      </c>
      <c r="AY76" s="119">
        <f t="shared" si="130"/>
        <v>840.00000000000011</v>
      </c>
      <c r="AZ76" s="119">
        <f t="shared" si="130"/>
        <v>840.00000000000011</v>
      </c>
      <c r="BA76" s="119">
        <f>BA57*$G$4*$B$76</f>
        <v>840.00000000000011</v>
      </c>
      <c r="BB76" s="119">
        <f t="shared" ref="BB76:BJ76" si="131">BB57*$G$4*$B$76</f>
        <v>840.00000000000011</v>
      </c>
      <c r="BC76" s="119">
        <f t="shared" si="131"/>
        <v>840.00000000000011</v>
      </c>
      <c r="BD76" s="119">
        <f t="shared" si="131"/>
        <v>840.00000000000011</v>
      </c>
      <c r="BE76" s="119">
        <f t="shared" si="131"/>
        <v>840.00000000000011</v>
      </c>
      <c r="BF76" s="119">
        <f t="shared" si="131"/>
        <v>840.00000000000011</v>
      </c>
      <c r="BG76" s="119">
        <f t="shared" si="131"/>
        <v>840.00000000000011</v>
      </c>
      <c r="BH76" s="119">
        <f t="shared" si="131"/>
        <v>840.00000000000011</v>
      </c>
      <c r="BI76" s="119">
        <f t="shared" si="131"/>
        <v>840.00000000000011</v>
      </c>
      <c r="BJ76" s="119">
        <f t="shared" si="131"/>
        <v>840.00000000000011</v>
      </c>
    </row>
    <row r="77" spans="1:62" outlineLevel="1" x14ac:dyDescent="0.25">
      <c r="A77" s="118" t="s">
        <v>213</v>
      </c>
      <c r="B77" s="119">
        <f>B18</f>
        <v>2000</v>
      </c>
      <c r="C77" s="119">
        <f t="shared" ref="C77:N77" si="132">C57*$G$5*$B$77</f>
        <v>980</v>
      </c>
      <c r="D77" s="119">
        <f t="shared" si="132"/>
        <v>980</v>
      </c>
      <c r="E77" s="119">
        <f t="shared" si="132"/>
        <v>980</v>
      </c>
      <c r="F77" s="119">
        <f t="shared" si="132"/>
        <v>980</v>
      </c>
      <c r="G77" s="119">
        <f t="shared" si="132"/>
        <v>980</v>
      </c>
      <c r="H77" s="119">
        <f t="shared" si="132"/>
        <v>980</v>
      </c>
      <c r="I77" s="119">
        <f t="shared" si="132"/>
        <v>980</v>
      </c>
      <c r="J77" s="119">
        <f t="shared" si="132"/>
        <v>980</v>
      </c>
      <c r="K77" s="119">
        <f t="shared" si="132"/>
        <v>980</v>
      </c>
      <c r="L77" s="119">
        <f t="shared" si="132"/>
        <v>980</v>
      </c>
      <c r="M77" s="119">
        <f t="shared" si="132"/>
        <v>980</v>
      </c>
      <c r="N77" s="119">
        <f t="shared" si="132"/>
        <v>980</v>
      </c>
      <c r="O77" s="119">
        <f t="shared" ref="O77:AZ77" si="133">O57*$G$5*$B$77</f>
        <v>980</v>
      </c>
      <c r="P77" s="119">
        <f t="shared" si="133"/>
        <v>980</v>
      </c>
      <c r="Q77" s="119">
        <f t="shared" si="133"/>
        <v>980</v>
      </c>
      <c r="R77" s="119">
        <f t="shared" si="133"/>
        <v>980</v>
      </c>
      <c r="S77" s="119">
        <f t="shared" si="133"/>
        <v>980</v>
      </c>
      <c r="T77" s="119">
        <f t="shared" si="133"/>
        <v>980</v>
      </c>
      <c r="U77" s="119">
        <f t="shared" si="133"/>
        <v>980</v>
      </c>
      <c r="V77" s="119">
        <f t="shared" si="133"/>
        <v>980</v>
      </c>
      <c r="W77" s="119">
        <f t="shared" si="133"/>
        <v>980</v>
      </c>
      <c r="X77" s="119">
        <f t="shared" si="133"/>
        <v>980</v>
      </c>
      <c r="Y77" s="119">
        <f t="shared" si="133"/>
        <v>980</v>
      </c>
      <c r="Z77" s="119">
        <f t="shared" si="133"/>
        <v>980</v>
      </c>
      <c r="AA77" s="119">
        <f t="shared" si="133"/>
        <v>980</v>
      </c>
      <c r="AB77" s="119">
        <f t="shared" si="133"/>
        <v>980</v>
      </c>
      <c r="AC77" s="119">
        <f t="shared" si="133"/>
        <v>980</v>
      </c>
      <c r="AD77" s="119">
        <f t="shared" si="133"/>
        <v>980</v>
      </c>
      <c r="AE77" s="119">
        <f t="shared" si="133"/>
        <v>980</v>
      </c>
      <c r="AF77" s="119">
        <f t="shared" si="133"/>
        <v>980</v>
      </c>
      <c r="AG77" s="119">
        <f t="shared" si="133"/>
        <v>980</v>
      </c>
      <c r="AH77" s="119">
        <f t="shared" si="133"/>
        <v>980</v>
      </c>
      <c r="AI77" s="119">
        <f t="shared" si="133"/>
        <v>980</v>
      </c>
      <c r="AJ77" s="119">
        <f t="shared" si="133"/>
        <v>980</v>
      </c>
      <c r="AK77" s="119">
        <f t="shared" si="133"/>
        <v>980</v>
      </c>
      <c r="AL77" s="119">
        <f t="shared" si="133"/>
        <v>980</v>
      </c>
      <c r="AM77" s="119">
        <f t="shared" si="133"/>
        <v>980</v>
      </c>
      <c r="AN77" s="119">
        <f t="shared" si="133"/>
        <v>980</v>
      </c>
      <c r="AO77" s="119">
        <f t="shared" si="133"/>
        <v>980</v>
      </c>
      <c r="AP77" s="119">
        <f t="shared" si="133"/>
        <v>980</v>
      </c>
      <c r="AQ77" s="119">
        <f t="shared" si="133"/>
        <v>980</v>
      </c>
      <c r="AR77" s="119">
        <f t="shared" si="133"/>
        <v>980</v>
      </c>
      <c r="AS77" s="119">
        <f t="shared" si="133"/>
        <v>980</v>
      </c>
      <c r="AT77" s="119">
        <f t="shared" si="133"/>
        <v>980</v>
      </c>
      <c r="AU77" s="119">
        <f t="shared" si="133"/>
        <v>980</v>
      </c>
      <c r="AV77" s="119">
        <f t="shared" si="133"/>
        <v>980</v>
      </c>
      <c r="AW77" s="119">
        <f t="shared" si="133"/>
        <v>980</v>
      </c>
      <c r="AX77" s="119">
        <f t="shared" si="133"/>
        <v>980</v>
      </c>
      <c r="AY77" s="119">
        <f t="shared" si="133"/>
        <v>980</v>
      </c>
      <c r="AZ77" s="119">
        <f t="shared" si="133"/>
        <v>980</v>
      </c>
      <c r="BA77" s="119">
        <f>BA57*$G$5*$B$77</f>
        <v>980</v>
      </c>
      <c r="BB77" s="119">
        <f t="shared" ref="BB77:BJ77" si="134">BB57*$G$5*$B$77</f>
        <v>980</v>
      </c>
      <c r="BC77" s="119">
        <f t="shared" si="134"/>
        <v>980</v>
      </c>
      <c r="BD77" s="119">
        <f t="shared" si="134"/>
        <v>980</v>
      </c>
      <c r="BE77" s="119">
        <f t="shared" si="134"/>
        <v>980</v>
      </c>
      <c r="BF77" s="119">
        <f t="shared" si="134"/>
        <v>980</v>
      </c>
      <c r="BG77" s="119">
        <f t="shared" si="134"/>
        <v>980</v>
      </c>
      <c r="BH77" s="119">
        <f t="shared" si="134"/>
        <v>980</v>
      </c>
      <c r="BI77" s="119">
        <f t="shared" si="134"/>
        <v>980</v>
      </c>
      <c r="BJ77" s="119">
        <f t="shared" si="134"/>
        <v>980</v>
      </c>
    </row>
    <row r="78" spans="1:62" outlineLevel="1" x14ac:dyDescent="0.25">
      <c r="A78" s="93" t="s">
        <v>229</v>
      </c>
      <c r="B78" s="122"/>
      <c r="C78" s="123">
        <f>SUM(C79:C80)</f>
        <v>0</v>
      </c>
      <c r="D78" s="123">
        <f t="shared" ref="D78" si="135">SUM(D79:D80)</f>
        <v>0</v>
      </c>
      <c r="E78" s="123">
        <f t="shared" ref="E78" si="136">SUM(E79:E80)</f>
        <v>0</v>
      </c>
      <c r="F78" s="123">
        <f t="shared" ref="F78" si="137">SUM(F79:F80)</f>
        <v>1820</v>
      </c>
      <c r="G78" s="123">
        <f t="shared" ref="G78" si="138">SUM(G79:G80)</f>
        <v>1820</v>
      </c>
      <c r="H78" s="123">
        <f t="shared" ref="H78" si="139">SUM(H79:H80)</f>
        <v>1820</v>
      </c>
      <c r="I78" s="123">
        <f t="shared" ref="I78" si="140">SUM(I79:I80)</f>
        <v>1820</v>
      </c>
      <c r="J78" s="123">
        <f t="shared" ref="J78" si="141">SUM(J79:J80)</f>
        <v>1820</v>
      </c>
      <c r="K78" s="123">
        <f t="shared" ref="K78" si="142">SUM(K79:K80)</f>
        <v>1820</v>
      </c>
      <c r="L78" s="123">
        <f t="shared" ref="L78" si="143">SUM(L79:L80)</f>
        <v>1820</v>
      </c>
      <c r="M78" s="123">
        <f t="shared" ref="M78" si="144">SUM(M79:M80)</f>
        <v>1820</v>
      </c>
      <c r="N78" s="123">
        <f t="shared" ref="N78:AZ78" si="145">SUM(N79:N80)</f>
        <v>1820</v>
      </c>
      <c r="O78" s="123">
        <f t="shared" si="145"/>
        <v>1820</v>
      </c>
      <c r="P78" s="123">
        <f t="shared" si="145"/>
        <v>1820</v>
      </c>
      <c r="Q78" s="123">
        <f t="shared" si="145"/>
        <v>1820</v>
      </c>
      <c r="R78" s="123">
        <f t="shared" si="145"/>
        <v>1820</v>
      </c>
      <c r="S78" s="123">
        <f t="shared" si="145"/>
        <v>1820</v>
      </c>
      <c r="T78" s="123">
        <f t="shared" si="145"/>
        <v>1820</v>
      </c>
      <c r="U78" s="123">
        <f t="shared" si="145"/>
        <v>1820</v>
      </c>
      <c r="V78" s="123">
        <f t="shared" si="145"/>
        <v>1820</v>
      </c>
      <c r="W78" s="123">
        <f t="shared" si="145"/>
        <v>1820</v>
      </c>
      <c r="X78" s="123">
        <f t="shared" si="145"/>
        <v>1820</v>
      </c>
      <c r="Y78" s="123">
        <f t="shared" si="145"/>
        <v>1820</v>
      </c>
      <c r="Z78" s="123">
        <f t="shared" si="145"/>
        <v>1820</v>
      </c>
      <c r="AA78" s="123">
        <f t="shared" si="145"/>
        <v>1820</v>
      </c>
      <c r="AB78" s="123">
        <f t="shared" si="145"/>
        <v>1820</v>
      </c>
      <c r="AC78" s="123">
        <f t="shared" si="145"/>
        <v>1820</v>
      </c>
      <c r="AD78" s="123">
        <f t="shared" si="145"/>
        <v>1820</v>
      </c>
      <c r="AE78" s="123">
        <f t="shared" si="145"/>
        <v>1820</v>
      </c>
      <c r="AF78" s="123">
        <f t="shared" si="145"/>
        <v>1820</v>
      </c>
      <c r="AG78" s="123">
        <f t="shared" si="145"/>
        <v>1820</v>
      </c>
      <c r="AH78" s="123">
        <f t="shared" si="145"/>
        <v>1820</v>
      </c>
      <c r="AI78" s="123">
        <f t="shared" si="145"/>
        <v>1820</v>
      </c>
      <c r="AJ78" s="123">
        <f t="shared" si="145"/>
        <v>1820</v>
      </c>
      <c r="AK78" s="123">
        <f t="shared" si="145"/>
        <v>1820</v>
      </c>
      <c r="AL78" s="123">
        <f t="shared" si="145"/>
        <v>1820</v>
      </c>
      <c r="AM78" s="123">
        <f t="shared" si="145"/>
        <v>1820</v>
      </c>
      <c r="AN78" s="123">
        <f t="shared" si="145"/>
        <v>1820</v>
      </c>
      <c r="AO78" s="123">
        <f t="shared" si="145"/>
        <v>1820</v>
      </c>
      <c r="AP78" s="123">
        <f t="shared" si="145"/>
        <v>1820</v>
      </c>
      <c r="AQ78" s="123">
        <f t="shared" si="145"/>
        <v>1820</v>
      </c>
      <c r="AR78" s="123">
        <f t="shared" si="145"/>
        <v>1820</v>
      </c>
      <c r="AS78" s="123">
        <f t="shared" si="145"/>
        <v>1820</v>
      </c>
      <c r="AT78" s="123">
        <f t="shared" si="145"/>
        <v>1820</v>
      </c>
      <c r="AU78" s="123">
        <f t="shared" si="145"/>
        <v>1820</v>
      </c>
      <c r="AV78" s="123">
        <f t="shared" si="145"/>
        <v>1820</v>
      </c>
      <c r="AW78" s="123">
        <f t="shared" si="145"/>
        <v>1820</v>
      </c>
      <c r="AX78" s="123">
        <f t="shared" si="145"/>
        <v>1820</v>
      </c>
      <c r="AY78" s="123">
        <f t="shared" si="145"/>
        <v>1820</v>
      </c>
      <c r="AZ78" s="123">
        <f t="shared" si="145"/>
        <v>1820</v>
      </c>
      <c r="BA78" s="123">
        <f t="shared" ref="BA78:BJ78" si="146">SUM(BA79:BA80)</f>
        <v>1820</v>
      </c>
      <c r="BB78" s="123">
        <f t="shared" si="146"/>
        <v>1820</v>
      </c>
      <c r="BC78" s="123">
        <f t="shared" si="146"/>
        <v>1820</v>
      </c>
      <c r="BD78" s="123">
        <f t="shared" si="146"/>
        <v>1820</v>
      </c>
      <c r="BE78" s="123">
        <f t="shared" si="146"/>
        <v>1820</v>
      </c>
      <c r="BF78" s="123">
        <f t="shared" si="146"/>
        <v>1820</v>
      </c>
      <c r="BG78" s="123">
        <f t="shared" si="146"/>
        <v>1820</v>
      </c>
      <c r="BH78" s="123">
        <f t="shared" si="146"/>
        <v>1820</v>
      </c>
      <c r="BI78" s="123">
        <f t="shared" si="146"/>
        <v>1820</v>
      </c>
      <c r="BJ78" s="123">
        <f t="shared" si="146"/>
        <v>1820</v>
      </c>
    </row>
    <row r="79" spans="1:62" outlineLevel="1" x14ac:dyDescent="0.25">
      <c r="A79" s="118" t="s">
        <v>214</v>
      </c>
      <c r="B79" s="119">
        <f>B17</f>
        <v>4000</v>
      </c>
      <c r="C79" s="119">
        <f t="shared" ref="C79:N79" si="147">C58*$G$4*$B$79</f>
        <v>0</v>
      </c>
      <c r="D79" s="119">
        <f t="shared" si="147"/>
        <v>0</v>
      </c>
      <c r="E79" s="119">
        <f t="shared" si="147"/>
        <v>0</v>
      </c>
      <c r="F79" s="119">
        <f t="shared" si="147"/>
        <v>840.00000000000011</v>
      </c>
      <c r="G79" s="119">
        <f t="shared" si="147"/>
        <v>840.00000000000011</v>
      </c>
      <c r="H79" s="119">
        <f t="shared" si="147"/>
        <v>840.00000000000011</v>
      </c>
      <c r="I79" s="119">
        <f t="shared" si="147"/>
        <v>840.00000000000011</v>
      </c>
      <c r="J79" s="119">
        <f t="shared" si="147"/>
        <v>840.00000000000011</v>
      </c>
      <c r="K79" s="119">
        <f t="shared" si="147"/>
        <v>840.00000000000011</v>
      </c>
      <c r="L79" s="119">
        <f t="shared" si="147"/>
        <v>840.00000000000011</v>
      </c>
      <c r="M79" s="119">
        <f t="shared" si="147"/>
        <v>840.00000000000011</v>
      </c>
      <c r="N79" s="119">
        <f t="shared" si="147"/>
        <v>840.00000000000011</v>
      </c>
      <c r="O79" s="119">
        <f t="shared" ref="O79:AZ79" si="148">O58*$G$4*$B$79</f>
        <v>840.00000000000011</v>
      </c>
      <c r="P79" s="119">
        <f t="shared" si="148"/>
        <v>840.00000000000011</v>
      </c>
      <c r="Q79" s="119">
        <f t="shared" si="148"/>
        <v>840.00000000000011</v>
      </c>
      <c r="R79" s="119">
        <f t="shared" si="148"/>
        <v>840.00000000000011</v>
      </c>
      <c r="S79" s="119">
        <f t="shared" si="148"/>
        <v>840.00000000000011</v>
      </c>
      <c r="T79" s="119">
        <f t="shared" si="148"/>
        <v>840.00000000000011</v>
      </c>
      <c r="U79" s="119">
        <f t="shared" si="148"/>
        <v>840.00000000000011</v>
      </c>
      <c r="V79" s="119">
        <f t="shared" si="148"/>
        <v>840.00000000000011</v>
      </c>
      <c r="W79" s="119">
        <f t="shared" si="148"/>
        <v>840.00000000000011</v>
      </c>
      <c r="X79" s="119">
        <f t="shared" si="148"/>
        <v>840.00000000000011</v>
      </c>
      <c r="Y79" s="119">
        <f t="shared" si="148"/>
        <v>840.00000000000011</v>
      </c>
      <c r="Z79" s="119">
        <f t="shared" si="148"/>
        <v>840.00000000000011</v>
      </c>
      <c r="AA79" s="119">
        <f t="shared" si="148"/>
        <v>840.00000000000011</v>
      </c>
      <c r="AB79" s="119">
        <f t="shared" si="148"/>
        <v>840.00000000000011</v>
      </c>
      <c r="AC79" s="119">
        <f t="shared" si="148"/>
        <v>840.00000000000011</v>
      </c>
      <c r="AD79" s="119">
        <f t="shared" si="148"/>
        <v>840.00000000000011</v>
      </c>
      <c r="AE79" s="119">
        <f t="shared" si="148"/>
        <v>840.00000000000011</v>
      </c>
      <c r="AF79" s="119">
        <f t="shared" si="148"/>
        <v>840.00000000000011</v>
      </c>
      <c r="AG79" s="119">
        <f t="shared" si="148"/>
        <v>840.00000000000011</v>
      </c>
      <c r="AH79" s="119">
        <f t="shared" si="148"/>
        <v>840.00000000000011</v>
      </c>
      <c r="AI79" s="119">
        <f t="shared" si="148"/>
        <v>840.00000000000011</v>
      </c>
      <c r="AJ79" s="119">
        <f t="shared" si="148"/>
        <v>840.00000000000011</v>
      </c>
      <c r="AK79" s="119">
        <f t="shared" si="148"/>
        <v>840.00000000000011</v>
      </c>
      <c r="AL79" s="119">
        <f t="shared" si="148"/>
        <v>840.00000000000011</v>
      </c>
      <c r="AM79" s="119">
        <f t="shared" si="148"/>
        <v>840.00000000000011</v>
      </c>
      <c r="AN79" s="119">
        <f t="shared" si="148"/>
        <v>840.00000000000011</v>
      </c>
      <c r="AO79" s="119">
        <f t="shared" si="148"/>
        <v>840.00000000000011</v>
      </c>
      <c r="AP79" s="119">
        <f t="shared" si="148"/>
        <v>840.00000000000011</v>
      </c>
      <c r="AQ79" s="119">
        <f t="shared" si="148"/>
        <v>840.00000000000011</v>
      </c>
      <c r="AR79" s="119">
        <f t="shared" si="148"/>
        <v>840.00000000000011</v>
      </c>
      <c r="AS79" s="119">
        <f t="shared" si="148"/>
        <v>840.00000000000011</v>
      </c>
      <c r="AT79" s="119">
        <f t="shared" si="148"/>
        <v>840.00000000000011</v>
      </c>
      <c r="AU79" s="119">
        <f t="shared" si="148"/>
        <v>840.00000000000011</v>
      </c>
      <c r="AV79" s="119">
        <f t="shared" si="148"/>
        <v>840.00000000000011</v>
      </c>
      <c r="AW79" s="119">
        <f t="shared" si="148"/>
        <v>840.00000000000011</v>
      </c>
      <c r="AX79" s="119">
        <f t="shared" si="148"/>
        <v>840.00000000000011</v>
      </c>
      <c r="AY79" s="119">
        <f t="shared" si="148"/>
        <v>840.00000000000011</v>
      </c>
      <c r="AZ79" s="119">
        <f t="shared" si="148"/>
        <v>840.00000000000011</v>
      </c>
      <c r="BA79" s="119">
        <f>BA58*$G$4*$B$79</f>
        <v>840.00000000000011</v>
      </c>
      <c r="BB79" s="119">
        <f t="shared" ref="BB79:BJ79" si="149">BB58*$G$4*$B$79</f>
        <v>840.00000000000011</v>
      </c>
      <c r="BC79" s="119">
        <f t="shared" si="149"/>
        <v>840.00000000000011</v>
      </c>
      <c r="BD79" s="119">
        <f t="shared" si="149"/>
        <v>840.00000000000011</v>
      </c>
      <c r="BE79" s="119">
        <f t="shared" si="149"/>
        <v>840.00000000000011</v>
      </c>
      <c r="BF79" s="119">
        <f t="shared" si="149"/>
        <v>840.00000000000011</v>
      </c>
      <c r="BG79" s="119">
        <f t="shared" si="149"/>
        <v>840.00000000000011</v>
      </c>
      <c r="BH79" s="119">
        <f t="shared" si="149"/>
        <v>840.00000000000011</v>
      </c>
      <c r="BI79" s="119">
        <f t="shared" si="149"/>
        <v>840.00000000000011</v>
      </c>
      <c r="BJ79" s="119">
        <f t="shared" si="149"/>
        <v>840.00000000000011</v>
      </c>
    </row>
    <row r="80" spans="1:62" outlineLevel="1" x14ac:dyDescent="0.25">
      <c r="A80" s="118" t="s">
        <v>213</v>
      </c>
      <c r="B80" s="119">
        <f>B18</f>
        <v>2000</v>
      </c>
      <c r="C80" s="119">
        <f t="shared" ref="C80:N80" si="150">C58*$G$5*$B$80</f>
        <v>0</v>
      </c>
      <c r="D80" s="119">
        <f t="shared" si="150"/>
        <v>0</v>
      </c>
      <c r="E80" s="119">
        <f t="shared" si="150"/>
        <v>0</v>
      </c>
      <c r="F80" s="119">
        <f t="shared" si="150"/>
        <v>980</v>
      </c>
      <c r="G80" s="119">
        <f t="shared" si="150"/>
        <v>980</v>
      </c>
      <c r="H80" s="119">
        <f t="shared" si="150"/>
        <v>980</v>
      </c>
      <c r="I80" s="119">
        <f t="shared" si="150"/>
        <v>980</v>
      </c>
      <c r="J80" s="119">
        <f t="shared" si="150"/>
        <v>980</v>
      </c>
      <c r="K80" s="119">
        <f t="shared" si="150"/>
        <v>980</v>
      </c>
      <c r="L80" s="119">
        <f t="shared" si="150"/>
        <v>980</v>
      </c>
      <c r="M80" s="119">
        <f t="shared" si="150"/>
        <v>980</v>
      </c>
      <c r="N80" s="119">
        <f t="shared" si="150"/>
        <v>980</v>
      </c>
      <c r="O80" s="119">
        <f t="shared" ref="O80:AZ80" si="151">O58*$G$5*$B$80</f>
        <v>980</v>
      </c>
      <c r="P80" s="119">
        <f t="shared" si="151"/>
        <v>980</v>
      </c>
      <c r="Q80" s="119">
        <f t="shared" si="151"/>
        <v>980</v>
      </c>
      <c r="R80" s="119">
        <f t="shared" si="151"/>
        <v>980</v>
      </c>
      <c r="S80" s="119">
        <f t="shared" si="151"/>
        <v>980</v>
      </c>
      <c r="T80" s="119">
        <f t="shared" si="151"/>
        <v>980</v>
      </c>
      <c r="U80" s="119">
        <f t="shared" si="151"/>
        <v>980</v>
      </c>
      <c r="V80" s="119">
        <f t="shared" si="151"/>
        <v>980</v>
      </c>
      <c r="W80" s="119">
        <f t="shared" si="151"/>
        <v>980</v>
      </c>
      <c r="X80" s="119">
        <f t="shared" si="151"/>
        <v>980</v>
      </c>
      <c r="Y80" s="119">
        <f t="shared" si="151"/>
        <v>980</v>
      </c>
      <c r="Z80" s="119">
        <f t="shared" si="151"/>
        <v>980</v>
      </c>
      <c r="AA80" s="119">
        <f t="shared" si="151"/>
        <v>980</v>
      </c>
      <c r="AB80" s="119">
        <f t="shared" si="151"/>
        <v>980</v>
      </c>
      <c r="AC80" s="119">
        <f t="shared" si="151"/>
        <v>980</v>
      </c>
      <c r="AD80" s="119">
        <f t="shared" si="151"/>
        <v>980</v>
      </c>
      <c r="AE80" s="119">
        <f t="shared" si="151"/>
        <v>980</v>
      </c>
      <c r="AF80" s="119">
        <f t="shared" si="151"/>
        <v>980</v>
      </c>
      <c r="AG80" s="119">
        <f t="shared" si="151"/>
        <v>980</v>
      </c>
      <c r="AH80" s="119">
        <f t="shared" si="151"/>
        <v>980</v>
      </c>
      <c r="AI80" s="119">
        <f t="shared" si="151"/>
        <v>980</v>
      </c>
      <c r="AJ80" s="119">
        <f t="shared" si="151"/>
        <v>980</v>
      </c>
      <c r="AK80" s="119">
        <f t="shared" si="151"/>
        <v>980</v>
      </c>
      <c r="AL80" s="119">
        <f t="shared" si="151"/>
        <v>980</v>
      </c>
      <c r="AM80" s="119">
        <f t="shared" si="151"/>
        <v>980</v>
      </c>
      <c r="AN80" s="119">
        <f t="shared" si="151"/>
        <v>980</v>
      </c>
      <c r="AO80" s="119">
        <f t="shared" si="151"/>
        <v>980</v>
      </c>
      <c r="AP80" s="119">
        <f t="shared" si="151"/>
        <v>980</v>
      </c>
      <c r="AQ80" s="119">
        <f t="shared" si="151"/>
        <v>980</v>
      </c>
      <c r="AR80" s="119">
        <f t="shared" si="151"/>
        <v>980</v>
      </c>
      <c r="AS80" s="119">
        <f t="shared" si="151"/>
        <v>980</v>
      </c>
      <c r="AT80" s="119">
        <f t="shared" si="151"/>
        <v>980</v>
      </c>
      <c r="AU80" s="119">
        <f t="shared" si="151"/>
        <v>980</v>
      </c>
      <c r="AV80" s="119">
        <f t="shared" si="151"/>
        <v>980</v>
      </c>
      <c r="AW80" s="119">
        <f t="shared" si="151"/>
        <v>980</v>
      </c>
      <c r="AX80" s="119">
        <f t="shared" si="151"/>
        <v>980</v>
      </c>
      <c r="AY80" s="119">
        <f t="shared" si="151"/>
        <v>980</v>
      </c>
      <c r="AZ80" s="119">
        <f t="shared" si="151"/>
        <v>980</v>
      </c>
      <c r="BA80" s="119">
        <f>BA58*$G$5*$B$80</f>
        <v>980</v>
      </c>
      <c r="BB80" s="119">
        <f t="shared" ref="BB80:BJ80" si="152">BB58*$G$5*$B$80</f>
        <v>980</v>
      </c>
      <c r="BC80" s="119">
        <f t="shared" si="152"/>
        <v>980</v>
      </c>
      <c r="BD80" s="119">
        <f t="shared" si="152"/>
        <v>980</v>
      </c>
      <c r="BE80" s="119">
        <f t="shared" si="152"/>
        <v>980</v>
      </c>
      <c r="BF80" s="119">
        <f t="shared" si="152"/>
        <v>980</v>
      </c>
      <c r="BG80" s="119">
        <f t="shared" si="152"/>
        <v>980</v>
      </c>
      <c r="BH80" s="119">
        <f t="shared" si="152"/>
        <v>980</v>
      </c>
      <c r="BI80" s="119">
        <f t="shared" si="152"/>
        <v>980</v>
      </c>
      <c r="BJ80" s="119">
        <f t="shared" si="152"/>
        <v>980</v>
      </c>
    </row>
    <row r="81" spans="1:62" outlineLevel="1" x14ac:dyDescent="0.25">
      <c r="A81" s="93" t="s">
        <v>227</v>
      </c>
      <c r="B81" s="122"/>
      <c r="C81" s="123">
        <f>SUM(C82:C83)</f>
        <v>0</v>
      </c>
      <c r="D81" s="123">
        <f t="shared" ref="D81" si="153">SUM(D82:D83)</f>
        <v>0</v>
      </c>
      <c r="E81" s="123">
        <f t="shared" ref="E81" si="154">SUM(E82:E83)</f>
        <v>0</v>
      </c>
      <c r="F81" s="123">
        <f t="shared" ref="F81" si="155">SUM(F82:F83)</f>
        <v>0</v>
      </c>
      <c r="G81" s="123">
        <f t="shared" ref="G81" si="156">SUM(G82:G83)</f>
        <v>0</v>
      </c>
      <c r="H81" s="123">
        <f t="shared" ref="H81" si="157">SUM(H82:H83)</f>
        <v>0</v>
      </c>
      <c r="I81" s="123">
        <f t="shared" ref="I81" si="158">SUM(I82:I83)</f>
        <v>0</v>
      </c>
      <c r="J81" s="123">
        <f t="shared" ref="J81" si="159">SUM(J82:J83)</f>
        <v>3640</v>
      </c>
      <c r="K81" s="123">
        <f t="shared" ref="K81" si="160">SUM(K82:K83)</f>
        <v>3640</v>
      </c>
      <c r="L81" s="123">
        <f t="shared" ref="L81" si="161">SUM(L82:L83)</f>
        <v>3640</v>
      </c>
      <c r="M81" s="123">
        <f t="shared" ref="M81" si="162">SUM(M82:M83)</f>
        <v>3640</v>
      </c>
      <c r="N81" s="123">
        <f t="shared" ref="N81:AZ81" si="163">SUM(N82:N83)</f>
        <v>3640</v>
      </c>
      <c r="O81" s="123">
        <f t="shared" si="163"/>
        <v>3640</v>
      </c>
      <c r="P81" s="123">
        <f t="shared" si="163"/>
        <v>3640</v>
      </c>
      <c r="Q81" s="123">
        <f t="shared" si="163"/>
        <v>3640</v>
      </c>
      <c r="R81" s="123">
        <f t="shared" si="163"/>
        <v>3640</v>
      </c>
      <c r="S81" s="123">
        <f t="shared" si="163"/>
        <v>3640</v>
      </c>
      <c r="T81" s="123">
        <f t="shared" si="163"/>
        <v>3640</v>
      </c>
      <c r="U81" s="123">
        <f t="shared" si="163"/>
        <v>3640</v>
      </c>
      <c r="V81" s="123">
        <f t="shared" si="163"/>
        <v>3640</v>
      </c>
      <c r="W81" s="123">
        <f t="shared" si="163"/>
        <v>3640</v>
      </c>
      <c r="X81" s="123">
        <f t="shared" si="163"/>
        <v>3640</v>
      </c>
      <c r="Y81" s="123">
        <f t="shared" si="163"/>
        <v>3640</v>
      </c>
      <c r="Z81" s="123">
        <f t="shared" si="163"/>
        <v>3640</v>
      </c>
      <c r="AA81" s="123">
        <f t="shared" si="163"/>
        <v>3640</v>
      </c>
      <c r="AB81" s="123">
        <f t="shared" si="163"/>
        <v>3640</v>
      </c>
      <c r="AC81" s="123">
        <f t="shared" si="163"/>
        <v>3640</v>
      </c>
      <c r="AD81" s="123">
        <f t="shared" si="163"/>
        <v>3640</v>
      </c>
      <c r="AE81" s="123">
        <f t="shared" si="163"/>
        <v>3640</v>
      </c>
      <c r="AF81" s="123">
        <f t="shared" si="163"/>
        <v>3640</v>
      </c>
      <c r="AG81" s="123">
        <f t="shared" si="163"/>
        <v>3640</v>
      </c>
      <c r="AH81" s="123">
        <f t="shared" si="163"/>
        <v>3640</v>
      </c>
      <c r="AI81" s="123">
        <f t="shared" si="163"/>
        <v>3640</v>
      </c>
      <c r="AJ81" s="123">
        <f t="shared" si="163"/>
        <v>3640</v>
      </c>
      <c r="AK81" s="123">
        <f t="shared" si="163"/>
        <v>3640</v>
      </c>
      <c r="AL81" s="123">
        <f t="shared" si="163"/>
        <v>3640</v>
      </c>
      <c r="AM81" s="123">
        <f t="shared" si="163"/>
        <v>3640</v>
      </c>
      <c r="AN81" s="123">
        <f t="shared" si="163"/>
        <v>3640</v>
      </c>
      <c r="AO81" s="123">
        <f t="shared" si="163"/>
        <v>3640</v>
      </c>
      <c r="AP81" s="123">
        <f t="shared" si="163"/>
        <v>3640</v>
      </c>
      <c r="AQ81" s="123">
        <f t="shared" si="163"/>
        <v>3640</v>
      </c>
      <c r="AR81" s="123">
        <f t="shared" si="163"/>
        <v>3640</v>
      </c>
      <c r="AS81" s="123">
        <f t="shared" si="163"/>
        <v>3640</v>
      </c>
      <c r="AT81" s="123">
        <f t="shared" si="163"/>
        <v>3640</v>
      </c>
      <c r="AU81" s="123">
        <f t="shared" si="163"/>
        <v>3640</v>
      </c>
      <c r="AV81" s="123">
        <f t="shared" si="163"/>
        <v>3640</v>
      </c>
      <c r="AW81" s="123">
        <f t="shared" si="163"/>
        <v>3640</v>
      </c>
      <c r="AX81" s="123">
        <f t="shared" si="163"/>
        <v>3640</v>
      </c>
      <c r="AY81" s="123">
        <f t="shared" si="163"/>
        <v>3640</v>
      </c>
      <c r="AZ81" s="123">
        <f t="shared" si="163"/>
        <v>3640</v>
      </c>
      <c r="BA81" s="123">
        <f t="shared" ref="BA81:BJ81" si="164">SUM(BA82:BA83)</f>
        <v>3640</v>
      </c>
      <c r="BB81" s="123">
        <f t="shared" si="164"/>
        <v>3640</v>
      </c>
      <c r="BC81" s="123">
        <f t="shared" si="164"/>
        <v>3640</v>
      </c>
      <c r="BD81" s="123">
        <f t="shared" si="164"/>
        <v>3640</v>
      </c>
      <c r="BE81" s="123">
        <f t="shared" si="164"/>
        <v>3640</v>
      </c>
      <c r="BF81" s="123">
        <f t="shared" si="164"/>
        <v>3640</v>
      </c>
      <c r="BG81" s="123">
        <f t="shared" si="164"/>
        <v>3640</v>
      </c>
      <c r="BH81" s="123">
        <f t="shared" si="164"/>
        <v>3640</v>
      </c>
      <c r="BI81" s="123">
        <f t="shared" si="164"/>
        <v>3640</v>
      </c>
      <c r="BJ81" s="123">
        <f t="shared" si="164"/>
        <v>3640</v>
      </c>
    </row>
    <row r="82" spans="1:62" outlineLevel="1" x14ac:dyDescent="0.25">
      <c r="A82" s="118" t="s">
        <v>214</v>
      </c>
      <c r="B82" s="119">
        <f>B17</f>
        <v>4000</v>
      </c>
      <c r="C82" s="119">
        <f t="shared" ref="C82:N82" si="165">C59*$G$4*$B$82</f>
        <v>0</v>
      </c>
      <c r="D82" s="119">
        <f t="shared" si="165"/>
        <v>0</v>
      </c>
      <c r="E82" s="119">
        <f t="shared" si="165"/>
        <v>0</v>
      </c>
      <c r="F82" s="119">
        <f t="shared" si="165"/>
        <v>0</v>
      </c>
      <c r="G82" s="119">
        <f t="shared" si="165"/>
        <v>0</v>
      </c>
      <c r="H82" s="119">
        <f t="shared" si="165"/>
        <v>0</v>
      </c>
      <c r="I82" s="119">
        <f t="shared" si="165"/>
        <v>0</v>
      </c>
      <c r="J82" s="119">
        <f t="shared" si="165"/>
        <v>1680.0000000000002</v>
      </c>
      <c r="K82" s="119">
        <f t="shared" si="165"/>
        <v>1680.0000000000002</v>
      </c>
      <c r="L82" s="119">
        <f t="shared" si="165"/>
        <v>1680.0000000000002</v>
      </c>
      <c r="M82" s="119">
        <f t="shared" si="165"/>
        <v>1680.0000000000002</v>
      </c>
      <c r="N82" s="119">
        <f t="shared" si="165"/>
        <v>1680.0000000000002</v>
      </c>
      <c r="O82" s="119">
        <f t="shared" ref="O82:AZ82" si="166">O59*$G$4*$B$82</f>
        <v>1680.0000000000002</v>
      </c>
      <c r="P82" s="119">
        <f t="shared" si="166"/>
        <v>1680.0000000000002</v>
      </c>
      <c r="Q82" s="119">
        <f t="shared" si="166"/>
        <v>1680.0000000000002</v>
      </c>
      <c r="R82" s="119">
        <f t="shared" si="166"/>
        <v>1680.0000000000002</v>
      </c>
      <c r="S82" s="119">
        <f t="shared" si="166"/>
        <v>1680.0000000000002</v>
      </c>
      <c r="T82" s="119">
        <f t="shared" si="166"/>
        <v>1680.0000000000002</v>
      </c>
      <c r="U82" s="119">
        <f t="shared" si="166"/>
        <v>1680.0000000000002</v>
      </c>
      <c r="V82" s="119">
        <f t="shared" si="166"/>
        <v>1680.0000000000002</v>
      </c>
      <c r="W82" s="119">
        <f t="shared" si="166"/>
        <v>1680.0000000000002</v>
      </c>
      <c r="X82" s="119">
        <f t="shared" si="166"/>
        <v>1680.0000000000002</v>
      </c>
      <c r="Y82" s="119">
        <f t="shared" si="166"/>
        <v>1680.0000000000002</v>
      </c>
      <c r="Z82" s="119">
        <f t="shared" si="166"/>
        <v>1680.0000000000002</v>
      </c>
      <c r="AA82" s="119">
        <f t="shared" si="166"/>
        <v>1680.0000000000002</v>
      </c>
      <c r="AB82" s="119">
        <f t="shared" si="166"/>
        <v>1680.0000000000002</v>
      </c>
      <c r="AC82" s="119">
        <f t="shared" si="166"/>
        <v>1680.0000000000002</v>
      </c>
      <c r="AD82" s="119">
        <f t="shared" si="166"/>
        <v>1680.0000000000002</v>
      </c>
      <c r="AE82" s="119">
        <f t="shared" si="166"/>
        <v>1680.0000000000002</v>
      </c>
      <c r="AF82" s="119">
        <f t="shared" si="166"/>
        <v>1680.0000000000002</v>
      </c>
      <c r="AG82" s="119">
        <f t="shared" si="166"/>
        <v>1680.0000000000002</v>
      </c>
      <c r="AH82" s="119">
        <f t="shared" si="166"/>
        <v>1680.0000000000002</v>
      </c>
      <c r="AI82" s="119">
        <f t="shared" si="166"/>
        <v>1680.0000000000002</v>
      </c>
      <c r="AJ82" s="119">
        <f t="shared" si="166"/>
        <v>1680.0000000000002</v>
      </c>
      <c r="AK82" s="119">
        <f t="shared" si="166"/>
        <v>1680.0000000000002</v>
      </c>
      <c r="AL82" s="119">
        <f t="shared" si="166"/>
        <v>1680.0000000000002</v>
      </c>
      <c r="AM82" s="119">
        <f t="shared" si="166"/>
        <v>1680.0000000000002</v>
      </c>
      <c r="AN82" s="119">
        <f t="shared" si="166"/>
        <v>1680.0000000000002</v>
      </c>
      <c r="AO82" s="119">
        <f t="shared" si="166"/>
        <v>1680.0000000000002</v>
      </c>
      <c r="AP82" s="119">
        <f t="shared" si="166"/>
        <v>1680.0000000000002</v>
      </c>
      <c r="AQ82" s="119">
        <f t="shared" si="166"/>
        <v>1680.0000000000002</v>
      </c>
      <c r="AR82" s="119">
        <f t="shared" si="166"/>
        <v>1680.0000000000002</v>
      </c>
      <c r="AS82" s="119">
        <f t="shared" si="166"/>
        <v>1680.0000000000002</v>
      </c>
      <c r="AT82" s="119">
        <f t="shared" si="166"/>
        <v>1680.0000000000002</v>
      </c>
      <c r="AU82" s="119">
        <f t="shared" si="166"/>
        <v>1680.0000000000002</v>
      </c>
      <c r="AV82" s="119">
        <f t="shared" si="166"/>
        <v>1680.0000000000002</v>
      </c>
      <c r="AW82" s="119">
        <f t="shared" si="166"/>
        <v>1680.0000000000002</v>
      </c>
      <c r="AX82" s="119">
        <f t="shared" si="166"/>
        <v>1680.0000000000002</v>
      </c>
      <c r="AY82" s="119">
        <f t="shared" si="166"/>
        <v>1680.0000000000002</v>
      </c>
      <c r="AZ82" s="119">
        <f t="shared" si="166"/>
        <v>1680.0000000000002</v>
      </c>
      <c r="BA82" s="119">
        <f>BA59*$G$4*$B$82</f>
        <v>1680.0000000000002</v>
      </c>
      <c r="BB82" s="119">
        <f t="shared" ref="BB82:BJ82" si="167">BB59*$G$4*$B$82</f>
        <v>1680.0000000000002</v>
      </c>
      <c r="BC82" s="119">
        <f t="shared" si="167"/>
        <v>1680.0000000000002</v>
      </c>
      <c r="BD82" s="119">
        <f t="shared" si="167"/>
        <v>1680.0000000000002</v>
      </c>
      <c r="BE82" s="119">
        <f t="shared" si="167"/>
        <v>1680.0000000000002</v>
      </c>
      <c r="BF82" s="119">
        <f t="shared" si="167"/>
        <v>1680.0000000000002</v>
      </c>
      <c r="BG82" s="119">
        <f t="shared" si="167"/>
        <v>1680.0000000000002</v>
      </c>
      <c r="BH82" s="119">
        <f t="shared" si="167"/>
        <v>1680.0000000000002</v>
      </c>
      <c r="BI82" s="119">
        <f t="shared" si="167"/>
        <v>1680.0000000000002</v>
      </c>
      <c r="BJ82" s="119">
        <f t="shared" si="167"/>
        <v>1680.0000000000002</v>
      </c>
    </row>
    <row r="83" spans="1:62" outlineLevel="1" x14ac:dyDescent="0.25">
      <c r="A83" s="118" t="s">
        <v>213</v>
      </c>
      <c r="B83" s="119">
        <f>B18</f>
        <v>2000</v>
      </c>
      <c r="C83" s="119">
        <f t="shared" ref="C83:N83" si="168">C59*$G$5*$B$83</f>
        <v>0</v>
      </c>
      <c r="D83" s="119">
        <f t="shared" si="168"/>
        <v>0</v>
      </c>
      <c r="E83" s="119">
        <f t="shared" si="168"/>
        <v>0</v>
      </c>
      <c r="F83" s="119">
        <f t="shared" si="168"/>
        <v>0</v>
      </c>
      <c r="G83" s="119">
        <f t="shared" si="168"/>
        <v>0</v>
      </c>
      <c r="H83" s="119">
        <f t="shared" si="168"/>
        <v>0</v>
      </c>
      <c r="I83" s="119">
        <f t="shared" si="168"/>
        <v>0</v>
      </c>
      <c r="J83" s="119">
        <f t="shared" si="168"/>
        <v>1960</v>
      </c>
      <c r="K83" s="119">
        <f t="shared" si="168"/>
        <v>1960</v>
      </c>
      <c r="L83" s="119">
        <f t="shared" si="168"/>
        <v>1960</v>
      </c>
      <c r="M83" s="119">
        <f t="shared" si="168"/>
        <v>1960</v>
      </c>
      <c r="N83" s="119">
        <f t="shared" si="168"/>
        <v>1960</v>
      </c>
      <c r="O83" s="119">
        <f t="shared" ref="O83:AZ83" si="169">O59*$G$5*$B$83</f>
        <v>1960</v>
      </c>
      <c r="P83" s="119">
        <f t="shared" si="169"/>
        <v>1960</v>
      </c>
      <c r="Q83" s="119">
        <f t="shared" si="169"/>
        <v>1960</v>
      </c>
      <c r="R83" s="119">
        <f t="shared" si="169"/>
        <v>1960</v>
      </c>
      <c r="S83" s="119">
        <f t="shared" si="169"/>
        <v>1960</v>
      </c>
      <c r="T83" s="119">
        <f t="shared" si="169"/>
        <v>1960</v>
      </c>
      <c r="U83" s="119">
        <f t="shared" si="169"/>
        <v>1960</v>
      </c>
      <c r="V83" s="119">
        <f t="shared" si="169"/>
        <v>1960</v>
      </c>
      <c r="W83" s="119">
        <f t="shared" si="169"/>
        <v>1960</v>
      </c>
      <c r="X83" s="119">
        <f t="shared" si="169"/>
        <v>1960</v>
      </c>
      <c r="Y83" s="119">
        <f t="shared" si="169"/>
        <v>1960</v>
      </c>
      <c r="Z83" s="119">
        <f t="shared" si="169"/>
        <v>1960</v>
      </c>
      <c r="AA83" s="119">
        <f t="shared" si="169"/>
        <v>1960</v>
      </c>
      <c r="AB83" s="119">
        <f t="shared" si="169"/>
        <v>1960</v>
      </c>
      <c r="AC83" s="119">
        <f t="shared" si="169"/>
        <v>1960</v>
      </c>
      <c r="AD83" s="119">
        <f t="shared" si="169"/>
        <v>1960</v>
      </c>
      <c r="AE83" s="119">
        <f t="shared" si="169"/>
        <v>1960</v>
      </c>
      <c r="AF83" s="119">
        <f t="shared" si="169"/>
        <v>1960</v>
      </c>
      <c r="AG83" s="119">
        <f t="shared" si="169"/>
        <v>1960</v>
      </c>
      <c r="AH83" s="119">
        <f t="shared" si="169"/>
        <v>1960</v>
      </c>
      <c r="AI83" s="119">
        <f t="shared" si="169"/>
        <v>1960</v>
      </c>
      <c r="AJ83" s="119">
        <f t="shared" si="169"/>
        <v>1960</v>
      </c>
      <c r="AK83" s="119">
        <f t="shared" si="169"/>
        <v>1960</v>
      </c>
      <c r="AL83" s="119">
        <f t="shared" si="169"/>
        <v>1960</v>
      </c>
      <c r="AM83" s="119">
        <f t="shared" si="169"/>
        <v>1960</v>
      </c>
      <c r="AN83" s="119">
        <f t="shared" si="169"/>
        <v>1960</v>
      </c>
      <c r="AO83" s="119">
        <f t="shared" si="169"/>
        <v>1960</v>
      </c>
      <c r="AP83" s="119">
        <f t="shared" si="169"/>
        <v>1960</v>
      </c>
      <c r="AQ83" s="119">
        <f t="shared" si="169"/>
        <v>1960</v>
      </c>
      <c r="AR83" s="119">
        <f t="shared" si="169"/>
        <v>1960</v>
      </c>
      <c r="AS83" s="119">
        <f t="shared" si="169"/>
        <v>1960</v>
      </c>
      <c r="AT83" s="119">
        <f t="shared" si="169"/>
        <v>1960</v>
      </c>
      <c r="AU83" s="119">
        <f t="shared" si="169"/>
        <v>1960</v>
      </c>
      <c r="AV83" s="119">
        <f t="shared" si="169"/>
        <v>1960</v>
      </c>
      <c r="AW83" s="119">
        <f t="shared" si="169"/>
        <v>1960</v>
      </c>
      <c r="AX83" s="119">
        <f t="shared" si="169"/>
        <v>1960</v>
      </c>
      <c r="AY83" s="119">
        <f t="shared" si="169"/>
        <v>1960</v>
      </c>
      <c r="AZ83" s="119">
        <f t="shared" si="169"/>
        <v>1960</v>
      </c>
      <c r="BA83" s="119">
        <f>BA59*$G$5*$B$83</f>
        <v>1960</v>
      </c>
      <c r="BB83" s="119">
        <f t="shared" ref="BB83:BJ83" si="170">BB59*$G$5*$B$83</f>
        <v>1960</v>
      </c>
      <c r="BC83" s="119">
        <f t="shared" si="170"/>
        <v>1960</v>
      </c>
      <c r="BD83" s="119">
        <f t="shared" si="170"/>
        <v>1960</v>
      </c>
      <c r="BE83" s="119">
        <f t="shared" si="170"/>
        <v>1960</v>
      </c>
      <c r="BF83" s="119">
        <f t="shared" si="170"/>
        <v>1960</v>
      </c>
      <c r="BG83" s="119">
        <f t="shared" si="170"/>
        <v>1960</v>
      </c>
      <c r="BH83" s="119">
        <f t="shared" si="170"/>
        <v>1960</v>
      </c>
      <c r="BI83" s="119">
        <f t="shared" si="170"/>
        <v>1960</v>
      </c>
      <c r="BJ83" s="119">
        <f t="shared" si="170"/>
        <v>1960</v>
      </c>
    </row>
    <row r="84" spans="1:62" outlineLevel="1" x14ac:dyDescent="0.25">
      <c r="A84" s="93" t="s">
        <v>230</v>
      </c>
      <c r="B84" s="122"/>
      <c r="C84" s="123">
        <f>SUM(C85:C86)</f>
        <v>0</v>
      </c>
      <c r="D84" s="123">
        <f t="shared" ref="D84" si="171">SUM(D85:D86)</f>
        <v>0</v>
      </c>
      <c r="E84" s="123">
        <f t="shared" ref="E84" si="172">SUM(E85:E86)</f>
        <v>0</v>
      </c>
      <c r="F84" s="123">
        <f t="shared" ref="F84" si="173">SUM(F85:F86)</f>
        <v>0</v>
      </c>
      <c r="G84" s="123">
        <f t="shared" ref="G84" si="174">SUM(G85:G86)</f>
        <v>0</v>
      </c>
      <c r="H84" s="123">
        <f t="shared" ref="H84" si="175">SUM(H85:H86)</f>
        <v>0</v>
      </c>
      <c r="I84" s="123">
        <f t="shared" ref="I84" si="176">SUM(I85:I86)</f>
        <v>0</v>
      </c>
      <c r="J84" s="123">
        <f t="shared" ref="J84" si="177">SUM(J85:J86)</f>
        <v>0</v>
      </c>
      <c r="K84" s="123">
        <f t="shared" ref="K84" si="178">SUM(K85:K86)</f>
        <v>0</v>
      </c>
      <c r="L84" s="123">
        <f t="shared" ref="L84" si="179">SUM(L85:L86)</f>
        <v>1950</v>
      </c>
      <c r="M84" s="123">
        <f t="shared" ref="M84" si="180">SUM(M85:M86)</f>
        <v>1950</v>
      </c>
      <c r="N84" s="123">
        <f t="shared" ref="N84:AZ84" si="181">SUM(N85:N86)</f>
        <v>1950</v>
      </c>
      <c r="O84" s="123">
        <f t="shared" si="181"/>
        <v>1950</v>
      </c>
      <c r="P84" s="123">
        <f t="shared" si="181"/>
        <v>1950</v>
      </c>
      <c r="Q84" s="123">
        <f t="shared" si="181"/>
        <v>1950</v>
      </c>
      <c r="R84" s="123">
        <f t="shared" si="181"/>
        <v>1950</v>
      </c>
      <c r="S84" s="123">
        <f t="shared" si="181"/>
        <v>1950</v>
      </c>
      <c r="T84" s="123">
        <f t="shared" si="181"/>
        <v>1950</v>
      </c>
      <c r="U84" s="123">
        <f t="shared" si="181"/>
        <v>1950</v>
      </c>
      <c r="V84" s="123">
        <f t="shared" si="181"/>
        <v>1950</v>
      </c>
      <c r="W84" s="123">
        <f t="shared" si="181"/>
        <v>1950</v>
      </c>
      <c r="X84" s="123">
        <f t="shared" si="181"/>
        <v>1950</v>
      </c>
      <c r="Y84" s="123">
        <f t="shared" si="181"/>
        <v>1950</v>
      </c>
      <c r="Z84" s="123">
        <f t="shared" si="181"/>
        <v>1950</v>
      </c>
      <c r="AA84" s="123">
        <f t="shared" si="181"/>
        <v>1950</v>
      </c>
      <c r="AB84" s="123">
        <f t="shared" si="181"/>
        <v>1950</v>
      </c>
      <c r="AC84" s="123">
        <f t="shared" si="181"/>
        <v>1950</v>
      </c>
      <c r="AD84" s="123">
        <f t="shared" si="181"/>
        <v>1950</v>
      </c>
      <c r="AE84" s="123">
        <f t="shared" si="181"/>
        <v>1950</v>
      </c>
      <c r="AF84" s="123">
        <f t="shared" si="181"/>
        <v>1950</v>
      </c>
      <c r="AG84" s="123">
        <f t="shared" si="181"/>
        <v>1950</v>
      </c>
      <c r="AH84" s="123">
        <f t="shared" si="181"/>
        <v>1950</v>
      </c>
      <c r="AI84" s="123">
        <f t="shared" si="181"/>
        <v>1950</v>
      </c>
      <c r="AJ84" s="123">
        <f t="shared" si="181"/>
        <v>1950</v>
      </c>
      <c r="AK84" s="123">
        <f t="shared" si="181"/>
        <v>1950</v>
      </c>
      <c r="AL84" s="123">
        <f t="shared" si="181"/>
        <v>1950</v>
      </c>
      <c r="AM84" s="123">
        <f t="shared" si="181"/>
        <v>1950</v>
      </c>
      <c r="AN84" s="123">
        <f t="shared" si="181"/>
        <v>1950</v>
      </c>
      <c r="AO84" s="123">
        <f t="shared" si="181"/>
        <v>1950</v>
      </c>
      <c r="AP84" s="123">
        <f t="shared" si="181"/>
        <v>1950</v>
      </c>
      <c r="AQ84" s="123">
        <f t="shared" si="181"/>
        <v>1950</v>
      </c>
      <c r="AR84" s="123">
        <f t="shared" si="181"/>
        <v>1950</v>
      </c>
      <c r="AS84" s="123">
        <f t="shared" si="181"/>
        <v>1950</v>
      </c>
      <c r="AT84" s="123">
        <f t="shared" si="181"/>
        <v>1950</v>
      </c>
      <c r="AU84" s="123">
        <f t="shared" si="181"/>
        <v>1950</v>
      </c>
      <c r="AV84" s="123">
        <f t="shared" si="181"/>
        <v>1950</v>
      </c>
      <c r="AW84" s="123">
        <f t="shared" si="181"/>
        <v>1950</v>
      </c>
      <c r="AX84" s="123">
        <f t="shared" si="181"/>
        <v>1950</v>
      </c>
      <c r="AY84" s="123">
        <f t="shared" si="181"/>
        <v>1950</v>
      </c>
      <c r="AZ84" s="123">
        <f t="shared" si="181"/>
        <v>1950</v>
      </c>
      <c r="BA84" s="123">
        <f t="shared" ref="BA84:BJ84" si="182">SUM(BA85:BA86)</f>
        <v>1950</v>
      </c>
      <c r="BB84" s="123">
        <f t="shared" si="182"/>
        <v>1950</v>
      </c>
      <c r="BC84" s="123">
        <f t="shared" si="182"/>
        <v>1950</v>
      </c>
      <c r="BD84" s="123">
        <f t="shared" si="182"/>
        <v>1950</v>
      </c>
      <c r="BE84" s="123">
        <f t="shared" si="182"/>
        <v>1950</v>
      </c>
      <c r="BF84" s="123">
        <f t="shared" si="182"/>
        <v>1950</v>
      </c>
      <c r="BG84" s="123">
        <f t="shared" si="182"/>
        <v>1950</v>
      </c>
      <c r="BH84" s="123">
        <f t="shared" si="182"/>
        <v>1950</v>
      </c>
      <c r="BI84" s="123">
        <f t="shared" si="182"/>
        <v>1950</v>
      </c>
      <c r="BJ84" s="123">
        <f t="shared" si="182"/>
        <v>1950</v>
      </c>
    </row>
    <row r="85" spans="1:62" outlineLevel="1" x14ac:dyDescent="0.25">
      <c r="A85" s="118" t="s">
        <v>214</v>
      </c>
      <c r="B85" s="119">
        <f>B20</f>
        <v>3000</v>
      </c>
      <c r="C85" s="119">
        <f t="shared" ref="C85:N85" si="183">C60*$G$4*$B$85</f>
        <v>0</v>
      </c>
      <c r="D85" s="119">
        <f t="shared" si="183"/>
        <v>0</v>
      </c>
      <c r="E85" s="119">
        <f t="shared" si="183"/>
        <v>0</v>
      </c>
      <c r="F85" s="119">
        <f t="shared" si="183"/>
        <v>0</v>
      </c>
      <c r="G85" s="119">
        <f t="shared" si="183"/>
        <v>0</v>
      </c>
      <c r="H85" s="119">
        <f t="shared" si="183"/>
        <v>0</v>
      </c>
      <c r="I85" s="119">
        <f t="shared" si="183"/>
        <v>0</v>
      </c>
      <c r="J85" s="119">
        <f t="shared" si="183"/>
        <v>0</v>
      </c>
      <c r="K85" s="119">
        <f t="shared" si="183"/>
        <v>0</v>
      </c>
      <c r="L85" s="119">
        <f t="shared" si="183"/>
        <v>900</v>
      </c>
      <c r="M85" s="119">
        <f t="shared" si="183"/>
        <v>900</v>
      </c>
      <c r="N85" s="119">
        <f t="shared" si="183"/>
        <v>900</v>
      </c>
      <c r="O85" s="119">
        <f t="shared" ref="O85:AZ85" si="184">O60*$G$4*$B$85</f>
        <v>900</v>
      </c>
      <c r="P85" s="119">
        <f t="shared" si="184"/>
        <v>900</v>
      </c>
      <c r="Q85" s="119">
        <f t="shared" si="184"/>
        <v>900</v>
      </c>
      <c r="R85" s="119">
        <f t="shared" si="184"/>
        <v>900</v>
      </c>
      <c r="S85" s="119">
        <f t="shared" si="184"/>
        <v>900</v>
      </c>
      <c r="T85" s="119">
        <f t="shared" si="184"/>
        <v>900</v>
      </c>
      <c r="U85" s="119">
        <f t="shared" si="184"/>
        <v>900</v>
      </c>
      <c r="V85" s="119">
        <f t="shared" si="184"/>
        <v>900</v>
      </c>
      <c r="W85" s="119">
        <f t="shared" si="184"/>
        <v>900</v>
      </c>
      <c r="X85" s="119">
        <f t="shared" si="184"/>
        <v>900</v>
      </c>
      <c r="Y85" s="119">
        <f t="shared" si="184"/>
        <v>900</v>
      </c>
      <c r="Z85" s="119">
        <f t="shared" si="184"/>
        <v>900</v>
      </c>
      <c r="AA85" s="119">
        <f t="shared" si="184"/>
        <v>900</v>
      </c>
      <c r="AB85" s="119">
        <f t="shared" si="184"/>
        <v>900</v>
      </c>
      <c r="AC85" s="119">
        <f t="shared" si="184"/>
        <v>900</v>
      </c>
      <c r="AD85" s="119">
        <f t="shared" si="184"/>
        <v>900</v>
      </c>
      <c r="AE85" s="119">
        <f t="shared" si="184"/>
        <v>900</v>
      </c>
      <c r="AF85" s="119">
        <f t="shared" si="184"/>
        <v>900</v>
      </c>
      <c r="AG85" s="119">
        <f t="shared" si="184"/>
        <v>900</v>
      </c>
      <c r="AH85" s="119">
        <f t="shared" si="184"/>
        <v>900</v>
      </c>
      <c r="AI85" s="119">
        <f t="shared" si="184"/>
        <v>900</v>
      </c>
      <c r="AJ85" s="119">
        <f t="shared" si="184"/>
        <v>900</v>
      </c>
      <c r="AK85" s="119">
        <f t="shared" si="184"/>
        <v>900</v>
      </c>
      <c r="AL85" s="119">
        <f t="shared" si="184"/>
        <v>900</v>
      </c>
      <c r="AM85" s="119">
        <f t="shared" si="184"/>
        <v>900</v>
      </c>
      <c r="AN85" s="119">
        <f t="shared" si="184"/>
        <v>900</v>
      </c>
      <c r="AO85" s="119">
        <f t="shared" si="184"/>
        <v>900</v>
      </c>
      <c r="AP85" s="119">
        <f t="shared" si="184"/>
        <v>900</v>
      </c>
      <c r="AQ85" s="119">
        <f t="shared" si="184"/>
        <v>900</v>
      </c>
      <c r="AR85" s="119">
        <f t="shared" si="184"/>
        <v>900</v>
      </c>
      <c r="AS85" s="119">
        <f t="shared" si="184"/>
        <v>900</v>
      </c>
      <c r="AT85" s="119">
        <f t="shared" si="184"/>
        <v>900</v>
      </c>
      <c r="AU85" s="119">
        <f t="shared" si="184"/>
        <v>900</v>
      </c>
      <c r="AV85" s="119">
        <f t="shared" si="184"/>
        <v>900</v>
      </c>
      <c r="AW85" s="119">
        <f t="shared" si="184"/>
        <v>900</v>
      </c>
      <c r="AX85" s="119">
        <f t="shared" si="184"/>
        <v>900</v>
      </c>
      <c r="AY85" s="119">
        <f t="shared" si="184"/>
        <v>900</v>
      </c>
      <c r="AZ85" s="119">
        <f t="shared" si="184"/>
        <v>900</v>
      </c>
      <c r="BA85" s="119">
        <f>BA60*$G$4*$B$85</f>
        <v>900</v>
      </c>
      <c r="BB85" s="119">
        <f t="shared" ref="BB85:BJ85" si="185">BB60*$G$4*$B$85</f>
        <v>900</v>
      </c>
      <c r="BC85" s="119">
        <f t="shared" si="185"/>
        <v>900</v>
      </c>
      <c r="BD85" s="119">
        <f t="shared" si="185"/>
        <v>900</v>
      </c>
      <c r="BE85" s="119">
        <f t="shared" si="185"/>
        <v>900</v>
      </c>
      <c r="BF85" s="119">
        <f t="shared" si="185"/>
        <v>900</v>
      </c>
      <c r="BG85" s="119">
        <f t="shared" si="185"/>
        <v>900</v>
      </c>
      <c r="BH85" s="119">
        <f t="shared" si="185"/>
        <v>900</v>
      </c>
      <c r="BI85" s="119">
        <f t="shared" si="185"/>
        <v>900</v>
      </c>
      <c r="BJ85" s="119">
        <f t="shared" si="185"/>
        <v>900</v>
      </c>
    </row>
    <row r="86" spans="1:62" outlineLevel="1" x14ac:dyDescent="0.25">
      <c r="A86" s="118" t="s">
        <v>213</v>
      </c>
      <c r="B86" s="119">
        <f>B21</f>
        <v>1500</v>
      </c>
      <c r="C86" s="119">
        <f t="shared" ref="C86:N86" si="186">C60*$G$5*$B$86</f>
        <v>0</v>
      </c>
      <c r="D86" s="119">
        <f t="shared" si="186"/>
        <v>0</v>
      </c>
      <c r="E86" s="119">
        <f t="shared" si="186"/>
        <v>0</v>
      </c>
      <c r="F86" s="119">
        <f t="shared" si="186"/>
        <v>0</v>
      </c>
      <c r="G86" s="119">
        <f t="shared" si="186"/>
        <v>0</v>
      </c>
      <c r="H86" s="119">
        <f t="shared" si="186"/>
        <v>0</v>
      </c>
      <c r="I86" s="119">
        <f t="shared" si="186"/>
        <v>0</v>
      </c>
      <c r="J86" s="119">
        <f t="shared" si="186"/>
        <v>0</v>
      </c>
      <c r="K86" s="119">
        <f t="shared" si="186"/>
        <v>0</v>
      </c>
      <c r="L86" s="119">
        <f t="shared" si="186"/>
        <v>1050</v>
      </c>
      <c r="M86" s="119">
        <f t="shared" si="186"/>
        <v>1050</v>
      </c>
      <c r="N86" s="119">
        <f t="shared" si="186"/>
        <v>1050</v>
      </c>
      <c r="O86" s="119">
        <f t="shared" ref="O86:AZ86" si="187">O60*$G$5*$B$86</f>
        <v>1050</v>
      </c>
      <c r="P86" s="119">
        <f t="shared" si="187"/>
        <v>1050</v>
      </c>
      <c r="Q86" s="119">
        <f t="shared" si="187"/>
        <v>1050</v>
      </c>
      <c r="R86" s="119">
        <f t="shared" si="187"/>
        <v>1050</v>
      </c>
      <c r="S86" s="119">
        <f t="shared" si="187"/>
        <v>1050</v>
      </c>
      <c r="T86" s="119">
        <f t="shared" si="187"/>
        <v>1050</v>
      </c>
      <c r="U86" s="119">
        <f t="shared" si="187"/>
        <v>1050</v>
      </c>
      <c r="V86" s="119">
        <f t="shared" si="187"/>
        <v>1050</v>
      </c>
      <c r="W86" s="119">
        <f t="shared" si="187"/>
        <v>1050</v>
      </c>
      <c r="X86" s="119">
        <f t="shared" si="187"/>
        <v>1050</v>
      </c>
      <c r="Y86" s="119">
        <f t="shared" si="187"/>
        <v>1050</v>
      </c>
      <c r="Z86" s="119">
        <f t="shared" si="187"/>
        <v>1050</v>
      </c>
      <c r="AA86" s="119">
        <f t="shared" si="187"/>
        <v>1050</v>
      </c>
      <c r="AB86" s="119">
        <f t="shared" si="187"/>
        <v>1050</v>
      </c>
      <c r="AC86" s="119">
        <f t="shared" si="187"/>
        <v>1050</v>
      </c>
      <c r="AD86" s="119">
        <f t="shared" si="187"/>
        <v>1050</v>
      </c>
      <c r="AE86" s="119">
        <f t="shared" si="187"/>
        <v>1050</v>
      </c>
      <c r="AF86" s="119">
        <f t="shared" si="187"/>
        <v>1050</v>
      </c>
      <c r="AG86" s="119">
        <f t="shared" si="187"/>
        <v>1050</v>
      </c>
      <c r="AH86" s="119">
        <f t="shared" si="187"/>
        <v>1050</v>
      </c>
      <c r="AI86" s="119">
        <f t="shared" si="187"/>
        <v>1050</v>
      </c>
      <c r="AJ86" s="119">
        <f t="shared" si="187"/>
        <v>1050</v>
      </c>
      <c r="AK86" s="119">
        <f t="shared" si="187"/>
        <v>1050</v>
      </c>
      <c r="AL86" s="119">
        <f t="shared" si="187"/>
        <v>1050</v>
      </c>
      <c r="AM86" s="119">
        <f t="shared" si="187"/>
        <v>1050</v>
      </c>
      <c r="AN86" s="119">
        <f t="shared" si="187"/>
        <v>1050</v>
      </c>
      <c r="AO86" s="119">
        <f t="shared" si="187"/>
        <v>1050</v>
      </c>
      <c r="AP86" s="119">
        <f t="shared" si="187"/>
        <v>1050</v>
      </c>
      <c r="AQ86" s="119">
        <f t="shared" si="187"/>
        <v>1050</v>
      </c>
      <c r="AR86" s="119">
        <f t="shared" si="187"/>
        <v>1050</v>
      </c>
      <c r="AS86" s="119">
        <f t="shared" si="187"/>
        <v>1050</v>
      </c>
      <c r="AT86" s="119">
        <f t="shared" si="187"/>
        <v>1050</v>
      </c>
      <c r="AU86" s="119">
        <f t="shared" si="187"/>
        <v>1050</v>
      </c>
      <c r="AV86" s="119">
        <f t="shared" si="187"/>
        <v>1050</v>
      </c>
      <c r="AW86" s="119">
        <f t="shared" si="187"/>
        <v>1050</v>
      </c>
      <c r="AX86" s="119">
        <f t="shared" si="187"/>
        <v>1050</v>
      </c>
      <c r="AY86" s="119">
        <f t="shared" si="187"/>
        <v>1050</v>
      </c>
      <c r="AZ86" s="119">
        <f t="shared" si="187"/>
        <v>1050</v>
      </c>
      <c r="BA86" s="119">
        <f>BA60*$G$5*$B$86</f>
        <v>1050</v>
      </c>
      <c r="BB86" s="119">
        <f t="shared" ref="BB86:BJ86" si="188">BB60*$G$5*$B$86</f>
        <v>1050</v>
      </c>
      <c r="BC86" s="119">
        <f t="shared" si="188"/>
        <v>1050</v>
      </c>
      <c r="BD86" s="119">
        <f t="shared" si="188"/>
        <v>1050</v>
      </c>
      <c r="BE86" s="119">
        <f t="shared" si="188"/>
        <v>1050</v>
      </c>
      <c r="BF86" s="119">
        <f t="shared" si="188"/>
        <v>1050</v>
      </c>
      <c r="BG86" s="119">
        <f t="shared" si="188"/>
        <v>1050</v>
      </c>
      <c r="BH86" s="119">
        <f t="shared" si="188"/>
        <v>1050</v>
      </c>
      <c r="BI86" s="119">
        <f t="shared" si="188"/>
        <v>1050</v>
      </c>
      <c r="BJ86" s="119">
        <f t="shared" si="188"/>
        <v>1050</v>
      </c>
    </row>
    <row r="87" spans="1:62" outlineLevel="1" x14ac:dyDescent="0.25">
      <c r="A87" s="93" t="s">
        <v>230</v>
      </c>
      <c r="B87" s="122"/>
      <c r="C87" s="123">
        <f>SUM(C88:C89)</f>
        <v>0</v>
      </c>
      <c r="D87" s="123">
        <f t="shared" ref="D87" si="189">SUM(D88:D89)</f>
        <v>0</v>
      </c>
      <c r="E87" s="123">
        <f t="shared" ref="E87" si="190">SUM(E88:E89)</f>
        <v>0</v>
      </c>
      <c r="F87" s="123">
        <f t="shared" ref="F87" si="191">SUM(F88:F89)</f>
        <v>0</v>
      </c>
      <c r="G87" s="123">
        <f t="shared" ref="G87" si="192">SUM(G88:G89)</f>
        <v>0</v>
      </c>
      <c r="H87" s="123">
        <f t="shared" ref="H87" si="193">SUM(H88:H89)</f>
        <v>0</v>
      </c>
      <c r="I87" s="123">
        <f t="shared" ref="I87" si="194">SUM(I88:I89)</f>
        <v>0</v>
      </c>
      <c r="J87" s="123">
        <f t="shared" ref="J87" si="195">SUM(J88:J89)</f>
        <v>0</v>
      </c>
      <c r="K87" s="123">
        <f t="shared" ref="K87" si="196">SUM(K88:K89)</f>
        <v>0</v>
      </c>
      <c r="L87" s="123">
        <f t="shared" ref="L87" si="197">SUM(L88:L89)</f>
        <v>0</v>
      </c>
      <c r="M87" s="123">
        <f t="shared" ref="M87" si="198">SUM(M88:M89)</f>
        <v>1950</v>
      </c>
      <c r="N87" s="123">
        <f t="shared" ref="N87:AZ87" si="199">SUM(N88:N89)</f>
        <v>1950</v>
      </c>
      <c r="O87" s="123">
        <f t="shared" si="199"/>
        <v>1950</v>
      </c>
      <c r="P87" s="123">
        <f t="shared" si="199"/>
        <v>1950</v>
      </c>
      <c r="Q87" s="123">
        <f t="shared" si="199"/>
        <v>1950</v>
      </c>
      <c r="R87" s="123">
        <f t="shared" si="199"/>
        <v>1950</v>
      </c>
      <c r="S87" s="123">
        <f t="shared" si="199"/>
        <v>1950</v>
      </c>
      <c r="T87" s="123">
        <f t="shared" si="199"/>
        <v>1950</v>
      </c>
      <c r="U87" s="123">
        <f t="shared" si="199"/>
        <v>1950</v>
      </c>
      <c r="V87" s="123">
        <f t="shared" si="199"/>
        <v>1950</v>
      </c>
      <c r="W87" s="123">
        <f t="shared" si="199"/>
        <v>1950</v>
      </c>
      <c r="X87" s="123">
        <f t="shared" si="199"/>
        <v>1950</v>
      </c>
      <c r="Y87" s="123">
        <f t="shared" si="199"/>
        <v>1950</v>
      </c>
      <c r="Z87" s="123">
        <f t="shared" si="199"/>
        <v>1950</v>
      </c>
      <c r="AA87" s="123">
        <f t="shared" si="199"/>
        <v>1950</v>
      </c>
      <c r="AB87" s="123">
        <f t="shared" si="199"/>
        <v>1950</v>
      </c>
      <c r="AC87" s="123">
        <f t="shared" si="199"/>
        <v>1950</v>
      </c>
      <c r="AD87" s="123">
        <f t="shared" si="199"/>
        <v>1950</v>
      </c>
      <c r="AE87" s="123">
        <f t="shared" si="199"/>
        <v>1950</v>
      </c>
      <c r="AF87" s="123">
        <f t="shared" si="199"/>
        <v>1950</v>
      </c>
      <c r="AG87" s="123">
        <f t="shared" si="199"/>
        <v>1950</v>
      </c>
      <c r="AH87" s="123">
        <f t="shared" si="199"/>
        <v>1950</v>
      </c>
      <c r="AI87" s="123">
        <f t="shared" si="199"/>
        <v>1950</v>
      </c>
      <c r="AJ87" s="123">
        <f t="shared" si="199"/>
        <v>1950</v>
      </c>
      <c r="AK87" s="123">
        <f t="shared" si="199"/>
        <v>1950</v>
      </c>
      <c r="AL87" s="123">
        <f t="shared" si="199"/>
        <v>1950</v>
      </c>
      <c r="AM87" s="123">
        <f t="shared" si="199"/>
        <v>1950</v>
      </c>
      <c r="AN87" s="123">
        <f t="shared" si="199"/>
        <v>1950</v>
      </c>
      <c r="AO87" s="123">
        <f t="shared" si="199"/>
        <v>1950</v>
      </c>
      <c r="AP87" s="123">
        <f t="shared" si="199"/>
        <v>1950</v>
      </c>
      <c r="AQ87" s="123">
        <f t="shared" si="199"/>
        <v>1950</v>
      </c>
      <c r="AR87" s="123">
        <f t="shared" si="199"/>
        <v>1950</v>
      </c>
      <c r="AS87" s="123">
        <f t="shared" si="199"/>
        <v>1950</v>
      </c>
      <c r="AT87" s="123">
        <f t="shared" si="199"/>
        <v>1950</v>
      </c>
      <c r="AU87" s="123">
        <f t="shared" si="199"/>
        <v>1950</v>
      </c>
      <c r="AV87" s="123">
        <f t="shared" si="199"/>
        <v>1950</v>
      </c>
      <c r="AW87" s="123">
        <f t="shared" si="199"/>
        <v>1950</v>
      </c>
      <c r="AX87" s="123">
        <f t="shared" si="199"/>
        <v>1950</v>
      </c>
      <c r="AY87" s="123">
        <f t="shared" si="199"/>
        <v>1950</v>
      </c>
      <c r="AZ87" s="123">
        <f t="shared" si="199"/>
        <v>1950</v>
      </c>
      <c r="BA87" s="123">
        <f t="shared" ref="BA87:BJ87" si="200">SUM(BA88:BA89)</f>
        <v>1950</v>
      </c>
      <c r="BB87" s="123">
        <f t="shared" si="200"/>
        <v>1950</v>
      </c>
      <c r="BC87" s="123">
        <f t="shared" si="200"/>
        <v>1950</v>
      </c>
      <c r="BD87" s="123">
        <f t="shared" si="200"/>
        <v>1950</v>
      </c>
      <c r="BE87" s="123">
        <f t="shared" si="200"/>
        <v>1950</v>
      </c>
      <c r="BF87" s="123">
        <f t="shared" si="200"/>
        <v>1950</v>
      </c>
      <c r="BG87" s="123">
        <f t="shared" si="200"/>
        <v>1950</v>
      </c>
      <c r="BH87" s="123">
        <f t="shared" si="200"/>
        <v>1950</v>
      </c>
      <c r="BI87" s="123">
        <f t="shared" si="200"/>
        <v>1950</v>
      </c>
      <c r="BJ87" s="123">
        <f t="shared" si="200"/>
        <v>1950</v>
      </c>
    </row>
    <row r="88" spans="1:62" outlineLevel="1" x14ac:dyDescent="0.25">
      <c r="A88" s="118" t="s">
        <v>214</v>
      </c>
      <c r="B88" s="119">
        <f>B20</f>
        <v>3000</v>
      </c>
      <c r="C88" s="119">
        <f t="shared" ref="C88:N88" si="201">C61*$G$4*$B$88</f>
        <v>0</v>
      </c>
      <c r="D88" s="119">
        <f t="shared" si="201"/>
        <v>0</v>
      </c>
      <c r="E88" s="119">
        <f t="shared" si="201"/>
        <v>0</v>
      </c>
      <c r="F88" s="119">
        <f t="shared" si="201"/>
        <v>0</v>
      </c>
      <c r="G88" s="119">
        <f t="shared" si="201"/>
        <v>0</v>
      </c>
      <c r="H88" s="119">
        <f t="shared" si="201"/>
        <v>0</v>
      </c>
      <c r="I88" s="119">
        <f t="shared" si="201"/>
        <v>0</v>
      </c>
      <c r="J88" s="119">
        <f t="shared" si="201"/>
        <v>0</v>
      </c>
      <c r="K88" s="119">
        <f t="shared" si="201"/>
        <v>0</v>
      </c>
      <c r="L88" s="119">
        <f t="shared" si="201"/>
        <v>0</v>
      </c>
      <c r="M88" s="119">
        <f t="shared" si="201"/>
        <v>900</v>
      </c>
      <c r="N88" s="119">
        <f t="shared" si="201"/>
        <v>900</v>
      </c>
      <c r="O88" s="119">
        <f t="shared" ref="O88:AZ88" si="202">O61*$G$4*$B$88</f>
        <v>900</v>
      </c>
      <c r="P88" s="119">
        <f t="shared" si="202"/>
        <v>900</v>
      </c>
      <c r="Q88" s="119">
        <f t="shared" si="202"/>
        <v>900</v>
      </c>
      <c r="R88" s="119">
        <f t="shared" si="202"/>
        <v>900</v>
      </c>
      <c r="S88" s="119">
        <f t="shared" si="202"/>
        <v>900</v>
      </c>
      <c r="T88" s="119">
        <f t="shared" si="202"/>
        <v>900</v>
      </c>
      <c r="U88" s="119">
        <f t="shared" si="202"/>
        <v>900</v>
      </c>
      <c r="V88" s="119">
        <f t="shared" si="202"/>
        <v>900</v>
      </c>
      <c r="W88" s="119">
        <f t="shared" si="202"/>
        <v>900</v>
      </c>
      <c r="X88" s="119">
        <f t="shared" si="202"/>
        <v>900</v>
      </c>
      <c r="Y88" s="119">
        <f t="shared" si="202"/>
        <v>900</v>
      </c>
      <c r="Z88" s="119">
        <f t="shared" si="202"/>
        <v>900</v>
      </c>
      <c r="AA88" s="119">
        <f t="shared" si="202"/>
        <v>900</v>
      </c>
      <c r="AB88" s="119">
        <f t="shared" si="202"/>
        <v>900</v>
      </c>
      <c r="AC88" s="119">
        <f t="shared" si="202"/>
        <v>900</v>
      </c>
      <c r="AD88" s="119">
        <f t="shared" si="202"/>
        <v>900</v>
      </c>
      <c r="AE88" s="119">
        <f t="shared" si="202"/>
        <v>900</v>
      </c>
      <c r="AF88" s="119">
        <f t="shared" si="202"/>
        <v>900</v>
      </c>
      <c r="AG88" s="119">
        <f t="shared" si="202"/>
        <v>900</v>
      </c>
      <c r="AH88" s="119">
        <f t="shared" si="202"/>
        <v>900</v>
      </c>
      <c r="AI88" s="119">
        <f t="shared" si="202"/>
        <v>900</v>
      </c>
      <c r="AJ88" s="119">
        <f t="shared" si="202"/>
        <v>900</v>
      </c>
      <c r="AK88" s="119">
        <f t="shared" si="202"/>
        <v>900</v>
      </c>
      <c r="AL88" s="119">
        <f t="shared" si="202"/>
        <v>900</v>
      </c>
      <c r="AM88" s="119">
        <f t="shared" si="202"/>
        <v>900</v>
      </c>
      <c r="AN88" s="119">
        <f t="shared" si="202"/>
        <v>900</v>
      </c>
      <c r="AO88" s="119">
        <f t="shared" si="202"/>
        <v>900</v>
      </c>
      <c r="AP88" s="119">
        <f t="shared" si="202"/>
        <v>900</v>
      </c>
      <c r="AQ88" s="119">
        <f t="shared" si="202"/>
        <v>900</v>
      </c>
      <c r="AR88" s="119">
        <f t="shared" si="202"/>
        <v>900</v>
      </c>
      <c r="AS88" s="119">
        <f t="shared" si="202"/>
        <v>900</v>
      </c>
      <c r="AT88" s="119">
        <f t="shared" si="202"/>
        <v>900</v>
      </c>
      <c r="AU88" s="119">
        <f t="shared" si="202"/>
        <v>900</v>
      </c>
      <c r="AV88" s="119">
        <f t="shared" si="202"/>
        <v>900</v>
      </c>
      <c r="AW88" s="119">
        <f t="shared" si="202"/>
        <v>900</v>
      </c>
      <c r="AX88" s="119">
        <f t="shared" si="202"/>
        <v>900</v>
      </c>
      <c r="AY88" s="119">
        <f t="shared" si="202"/>
        <v>900</v>
      </c>
      <c r="AZ88" s="119">
        <f t="shared" si="202"/>
        <v>900</v>
      </c>
      <c r="BA88" s="119">
        <f>BA61*$G$4*$B$88</f>
        <v>900</v>
      </c>
      <c r="BB88" s="119">
        <f t="shared" ref="BB88:BJ88" si="203">BB61*$G$4*$B$88</f>
        <v>900</v>
      </c>
      <c r="BC88" s="119">
        <f t="shared" si="203"/>
        <v>900</v>
      </c>
      <c r="BD88" s="119">
        <f t="shared" si="203"/>
        <v>900</v>
      </c>
      <c r="BE88" s="119">
        <f t="shared" si="203"/>
        <v>900</v>
      </c>
      <c r="BF88" s="119">
        <f t="shared" si="203"/>
        <v>900</v>
      </c>
      <c r="BG88" s="119">
        <f t="shared" si="203"/>
        <v>900</v>
      </c>
      <c r="BH88" s="119">
        <f t="shared" si="203"/>
        <v>900</v>
      </c>
      <c r="BI88" s="119">
        <f t="shared" si="203"/>
        <v>900</v>
      </c>
      <c r="BJ88" s="119">
        <f t="shared" si="203"/>
        <v>900</v>
      </c>
    </row>
    <row r="89" spans="1:62" outlineLevel="1" x14ac:dyDescent="0.25">
      <c r="A89" s="118" t="s">
        <v>213</v>
      </c>
      <c r="B89" s="119">
        <f>B21</f>
        <v>1500</v>
      </c>
      <c r="C89" s="119">
        <f t="shared" ref="C89:N89" si="204">C61*$G$5*$B$89</f>
        <v>0</v>
      </c>
      <c r="D89" s="119">
        <f t="shared" si="204"/>
        <v>0</v>
      </c>
      <c r="E89" s="119">
        <f t="shared" si="204"/>
        <v>0</v>
      </c>
      <c r="F89" s="119">
        <f t="shared" si="204"/>
        <v>0</v>
      </c>
      <c r="G89" s="119">
        <f t="shared" si="204"/>
        <v>0</v>
      </c>
      <c r="H89" s="119">
        <f t="shared" si="204"/>
        <v>0</v>
      </c>
      <c r="I89" s="119">
        <f t="shared" si="204"/>
        <v>0</v>
      </c>
      <c r="J89" s="119">
        <f t="shared" si="204"/>
        <v>0</v>
      </c>
      <c r="K89" s="119">
        <f t="shared" si="204"/>
        <v>0</v>
      </c>
      <c r="L89" s="119">
        <f t="shared" si="204"/>
        <v>0</v>
      </c>
      <c r="M89" s="119">
        <f t="shared" si="204"/>
        <v>1050</v>
      </c>
      <c r="N89" s="119">
        <f t="shared" si="204"/>
        <v>1050</v>
      </c>
      <c r="O89" s="119">
        <f t="shared" ref="O89:AZ89" si="205">O61*$G$5*$B$89</f>
        <v>1050</v>
      </c>
      <c r="P89" s="119">
        <f t="shared" si="205"/>
        <v>1050</v>
      </c>
      <c r="Q89" s="119">
        <f t="shared" si="205"/>
        <v>1050</v>
      </c>
      <c r="R89" s="119">
        <f t="shared" si="205"/>
        <v>1050</v>
      </c>
      <c r="S89" s="119">
        <f t="shared" si="205"/>
        <v>1050</v>
      </c>
      <c r="T89" s="119">
        <f t="shared" si="205"/>
        <v>1050</v>
      </c>
      <c r="U89" s="119">
        <f t="shared" si="205"/>
        <v>1050</v>
      </c>
      <c r="V89" s="119">
        <f t="shared" si="205"/>
        <v>1050</v>
      </c>
      <c r="W89" s="119">
        <f t="shared" si="205"/>
        <v>1050</v>
      </c>
      <c r="X89" s="119">
        <f t="shared" si="205"/>
        <v>1050</v>
      </c>
      <c r="Y89" s="119">
        <f t="shared" si="205"/>
        <v>1050</v>
      </c>
      <c r="Z89" s="119">
        <f t="shared" si="205"/>
        <v>1050</v>
      </c>
      <c r="AA89" s="119">
        <f t="shared" si="205"/>
        <v>1050</v>
      </c>
      <c r="AB89" s="119">
        <f t="shared" si="205"/>
        <v>1050</v>
      </c>
      <c r="AC89" s="119">
        <f t="shared" si="205"/>
        <v>1050</v>
      </c>
      <c r="AD89" s="119">
        <f t="shared" si="205"/>
        <v>1050</v>
      </c>
      <c r="AE89" s="119">
        <f t="shared" si="205"/>
        <v>1050</v>
      </c>
      <c r="AF89" s="119">
        <f t="shared" si="205"/>
        <v>1050</v>
      </c>
      <c r="AG89" s="119">
        <f t="shared" si="205"/>
        <v>1050</v>
      </c>
      <c r="AH89" s="119">
        <f t="shared" si="205"/>
        <v>1050</v>
      </c>
      <c r="AI89" s="119">
        <f t="shared" si="205"/>
        <v>1050</v>
      </c>
      <c r="AJ89" s="119">
        <f t="shared" si="205"/>
        <v>1050</v>
      </c>
      <c r="AK89" s="119">
        <f t="shared" si="205"/>
        <v>1050</v>
      </c>
      <c r="AL89" s="119">
        <f t="shared" si="205"/>
        <v>1050</v>
      </c>
      <c r="AM89" s="119">
        <f t="shared" si="205"/>
        <v>1050</v>
      </c>
      <c r="AN89" s="119">
        <f t="shared" si="205"/>
        <v>1050</v>
      </c>
      <c r="AO89" s="119">
        <f t="shared" si="205"/>
        <v>1050</v>
      </c>
      <c r="AP89" s="119">
        <f t="shared" si="205"/>
        <v>1050</v>
      </c>
      <c r="AQ89" s="119">
        <f t="shared" si="205"/>
        <v>1050</v>
      </c>
      <c r="AR89" s="119">
        <f t="shared" si="205"/>
        <v>1050</v>
      </c>
      <c r="AS89" s="119">
        <f t="shared" si="205"/>
        <v>1050</v>
      </c>
      <c r="AT89" s="119">
        <f t="shared" si="205"/>
        <v>1050</v>
      </c>
      <c r="AU89" s="119">
        <f t="shared" si="205"/>
        <v>1050</v>
      </c>
      <c r="AV89" s="119">
        <f t="shared" si="205"/>
        <v>1050</v>
      </c>
      <c r="AW89" s="119">
        <f t="shared" si="205"/>
        <v>1050</v>
      </c>
      <c r="AX89" s="119">
        <f t="shared" si="205"/>
        <v>1050</v>
      </c>
      <c r="AY89" s="119">
        <f t="shared" si="205"/>
        <v>1050</v>
      </c>
      <c r="AZ89" s="119">
        <f t="shared" si="205"/>
        <v>1050</v>
      </c>
      <c r="BA89" s="119">
        <f>BA61*$G$5*$B$89</f>
        <v>1050</v>
      </c>
      <c r="BB89" s="119">
        <f t="shared" ref="BB89:BJ89" si="206">BB61*$G$5*$B$89</f>
        <v>1050</v>
      </c>
      <c r="BC89" s="119">
        <f t="shared" si="206"/>
        <v>1050</v>
      </c>
      <c r="BD89" s="119">
        <f t="shared" si="206"/>
        <v>1050</v>
      </c>
      <c r="BE89" s="119">
        <f t="shared" si="206"/>
        <v>1050</v>
      </c>
      <c r="BF89" s="119">
        <f t="shared" si="206"/>
        <v>1050</v>
      </c>
      <c r="BG89" s="119">
        <f t="shared" si="206"/>
        <v>1050</v>
      </c>
      <c r="BH89" s="119">
        <f t="shared" si="206"/>
        <v>1050</v>
      </c>
      <c r="BI89" s="119">
        <f t="shared" si="206"/>
        <v>1050</v>
      </c>
      <c r="BJ89" s="119">
        <f t="shared" si="206"/>
        <v>1050</v>
      </c>
    </row>
    <row r="90" spans="1:62" outlineLevel="1" x14ac:dyDescent="0.25">
      <c r="A90" s="93" t="s">
        <v>230</v>
      </c>
      <c r="B90" s="122"/>
      <c r="C90" s="123">
        <f>SUM(C91:C92)</f>
        <v>0</v>
      </c>
      <c r="D90" s="123">
        <f t="shared" ref="D90" si="207">SUM(D91:D92)</f>
        <v>0</v>
      </c>
      <c r="E90" s="123">
        <f t="shared" ref="E90" si="208">SUM(E91:E92)</f>
        <v>0</v>
      </c>
      <c r="F90" s="123">
        <f t="shared" ref="F90" si="209">SUM(F91:F92)</f>
        <v>0</v>
      </c>
      <c r="G90" s="123">
        <f t="shared" ref="G90" si="210">SUM(G91:G92)</f>
        <v>0</v>
      </c>
      <c r="H90" s="123">
        <f t="shared" ref="H90" si="211">SUM(H91:H92)</f>
        <v>0</v>
      </c>
      <c r="I90" s="123">
        <f t="shared" ref="I90" si="212">SUM(I91:I92)</f>
        <v>0</v>
      </c>
      <c r="J90" s="123">
        <f t="shared" ref="J90" si="213">SUM(J91:J92)</f>
        <v>0</v>
      </c>
      <c r="K90" s="123">
        <f t="shared" ref="K90" si="214">SUM(K91:K92)</f>
        <v>0</v>
      </c>
      <c r="L90" s="123">
        <f t="shared" ref="L90" si="215">SUM(L91:L92)</f>
        <v>0</v>
      </c>
      <c r="M90" s="123">
        <f t="shared" ref="M90" si="216">SUM(M91:M92)</f>
        <v>0</v>
      </c>
      <c r="N90" s="123">
        <f t="shared" ref="N90:AZ90" si="217">SUM(N91:N92)</f>
        <v>1950</v>
      </c>
      <c r="O90" s="123">
        <f t="shared" si="217"/>
        <v>1989</v>
      </c>
      <c r="P90" s="123">
        <f t="shared" si="217"/>
        <v>2028.7799999999997</v>
      </c>
      <c r="Q90" s="123">
        <f t="shared" si="217"/>
        <v>2069.3555999999999</v>
      </c>
      <c r="R90" s="123">
        <f t="shared" si="217"/>
        <v>2110.7427120000002</v>
      </c>
      <c r="S90" s="123">
        <f t="shared" si="217"/>
        <v>2152.9575662399998</v>
      </c>
      <c r="T90" s="123">
        <f t="shared" si="217"/>
        <v>2196.0167175647998</v>
      </c>
      <c r="U90" s="123">
        <f t="shared" si="217"/>
        <v>2239.9370519160957</v>
      </c>
      <c r="V90" s="123">
        <f t="shared" si="217"/>
        <v>2284.7357929544178</v>
      </c>
      <c r="W90" s="123">
        <f t="shared" si="217"/>
        <v>2330.4305088135065</v>
      </c>
      <c r="X90" s="123">
        <f t="shared" si="217"/>
        <v>2377.0391189897764</v>
      </c>
      <c r="Y90" s="123">
        <f t="shared" si="217"/>
        <v>2424.5799013695723</v>
      </c>
      <c r="Z90" s="123">
        <f t="shared" si="217"/>
        <v>2473.0714993969636</v>
      </c>
      <c r="AA90" s="123">
        <f t="shared" si="217"/>
        <v>2522.5329293849027</v>
      </c>
      <c r="AB90" s="123">
        <f t="shared" si="217"/>
        <v>2572.9835879726011</v>
      </c>
      <c r="AC90" s="123">
        <f t="shared" si="217"/>
        <v>2624.4432597320529</v>
      </c>
      <c r="AD90" s="123">
        <f t="shared" si="217"/>
        <v>2676.9321249266941</v>
      </c>
      <c r="AE90" s="123">
        <f t="shared" si="217"/>
        <v>2730.4707674252286</v>
      </c>
      <c r="AF90" s="123">
        <f t="shared" si="217"/>
        <v>2785.0801827737332</v>
      </c>
      <c r="AG90" s="123">
        <f t="shared" si="217"/>
        <v>2840.7817864292078</v>
      </c>
      <c r="AH90" s="123">
        <f t="shared" si="217"/>
        <v>2897.5974221577917</v>
      </c>
      <c r="AI90" s="123">
        <f t="shared" si="217"/>
        <v>2955.5493706009474</v>
      </c>
      <c r="AJ90" s="123">
        <f t="shared" si="217"/>
        <v>3014.6603580129668</v>
      </c>
      <c r="AK90" s="123">
        <f t="shared" si="217"/>
        <v>3074.9535651732267</v>
      </c>
      <c r="AL90" s="123">
        <f t="shared" si="217"/>
        <v>3136.4526364766907</v>
      </c>
      <c r="AM90" s="123">
        <f t="shared" si="217"/>
        <v>3199.1816892062247</v>
      </c>
      <c r="AN90" s="123">
        <f t="shared" si="217"/>
        <v>3263.1653229903491</v>
      </c>
      <c r="AO90" s="123">
        <f t="shared" si="217"/>
        <v>3328.4286294501562</v>
      </c>
      <c r="AP90" s="123">
        <f t="shared" si="217"/>
        <v>3394.9972020391597</v>
      </c>
      <c r="AQ90" s="123">
        <f t="shared" si="217"/>
        <v>3462.8971460799421</v>
      </c>
      <c r="AR90" s="123">
        <f t="shared" si="217"/>
        <v>3532.1550890015419</v>
      </c>
      <c r="AS90" s="123">
        <f t="shared" si="217"/>
        <v>3602.7981907815724</v>
      </c>
      <c r="AT90" s="123">
        <f t="shared" si="217"/>
        <v>3674.8541545972043</v>
      </c>
      <c r="AU90" s="123">
        <f t="shared" si="217"/>
        <v>3748.3512376891485</v>
      </c>
      <c r="AV90" s="123">
        <f t="shared" si="217"/>
        <v>3823.3182624429319</v>
      </c>
      <c r="AW90" s="123">
        <f t="shared" si="217"/>
        <v>3899.7846276917903</v>
      </c>
      <c r="AX90" s="123">
        <f t="shared" si="217"/>
        <v>3977.7803202456257</v>
      </c>
      <c r="AY90" s="123">
        <f t="shared" si="217"/>
        <v>4057.3359266505386</v>
      </c>
      <c r="AZ90" s="123">
        <f t="shared" si="217"/>
        <v>4138.4826451835488</v>
      </c>
      <c r="BA90" s="123">
        <f t="shared" ref="BA90:BJ90" si="218">SUM(BA91:BA92)</f>
        <v>4221.2522980872209</v>
      </c>
      <c r="BB90" s="123">
        <f t="shared" si="218"/>
        <v>4305.6773440489651</v>
      </c>
      <c r="BC90" s="123">
        <f t="shared" si="218"/>
        <v>4391.790890929944</v>
      </c>
      <c r="BD90" s="123">
        <f t="shared" si="218"/>
        <v>4479.626708748543</v>
      </c>
      <c r="BE90" s="123">
        <f t="shared" si="218"/>
        <v>4569.2192429235147</v>
      </c>
      <c r="BF90" s="123">
        <f t="shared" si="218"/>
        <v>4660.603627781984</v>
      </c>
      <c r="BG90" s="123">
        <f t="shared" si="218"/>
        <v>4753.8157003376245</v>
      </c>
      <c r="BH90" s="123">
        <f t="shared" si="218"/>
        <v>4848.8920143443765</v>
      </c>
      <c r="BI90" s="123">
        <f t="shared" si="218"/>
        <v>4945.8698546312644</v>
      </c>
      <c r="BJ90" s="123">
        <f t="shared" si="218"/>
        <v>5044.7872517238884</v>
      </c>
    </row>
    <row r="91" spans="1:62" outlineLevel="1" x14ac:dyDescent="0.25">
      <c r="A91" s="118" t="s">
        <v>214</v>
      </c>
      <c r="B91" s="119">
        <f>B20</f>
        <v>3000</v>
      </c>
      <c r="C91" s="119">
        <f t="shared" ref="C91:N91" si="219">C62*$G$4*$B$91</f>
        <v>0</v>
      </c>
      <c r="D91" s="119">
        <f t="shared" si="219"/>
        <v>0</v>
      </c>
      <c r="E91" s="119">
        <f t="shared" si="219"/>
        <v>0</v>
      </c>
      <c r="F91" s="119">
        <f t="shared" si="219"/>
        <v>0</v>
      </c>
      <c r="G91" s="119">
        <f t="shared" si="219"/>
        <v>0</v>
      </c>
      <c r="H91" s="119">
        <f t="shared" si="219"/>
        <v>0</v>
      </c>
      <c r="I91" s="119">
        <f t="shared" si="219"/>
        <v>0</v>
      </c>
      <c r="J91" s="119">
        <f t="shared" si="219"/>
        <v>0</v>
      </c>
      <c r="K91" s="119">
        <f t="shared" si="219"/>
        <v>0</v>
      </c>
      <c r="L91" s="119">
        <f t="shared" si="219"/>
        <v>0</v>
      </c>
      <c r="M91" s="119">
        <f t="shared" si="219"/>
        <v>0</v>
      </c>
      <c r="N91" s="119">
        <f t="shared" si="219"/>
        <v>900</v>
      </c>
      <c r="O91" s="119">
        <f t="shared" ref="O91:AZ91" si="220">O62*$G$4*$B$91</f>
        <v>918</v>
      </c>
      <c r="P91" s="119">
        <f t="shared" si="220"/>
        <v>936.36</v>
      </c>
      <c r="Q91" s="119">
        <f t="shared" si="220"/>
        <v>955.08719999999994</v>
      </c>
      <c r="R91" s="119">
        <f t="shared" si="220"/>
        <v>974.18894399999999</v>
      </c>
      <c r="S91" s="119">
        <f t="shared" si="220"/>
        <v>993.67272287999992</v>
      </c>
      <c r="T91" s="119">
        <f t="shared" si="220"/>
        <v>1013.5461773375999</v>
      </c>
      <c r="U91" s="119">
        <f t="shared" si="220"/>
        <v>1033.8171008843519</v>
      </c>
      <c r="V91" s="119">
        <f t="shared" si="220"/>
        <v>1054.4934429020391</v>
      </c>
      <c r="W91" s="119">
        <f t="shared" si="220"/>
        <v>1075.5833117600801</v>
      </c>
      <c r="X91" s="119">
        <f t="shared" si="220"/>
        <v>1097.0949779952814</v>
      </c>
      <c r="Y91" s="119">
        <f t="shared" si="220"/>
        <v>1119.0368775551872</v>
      </c>
      <c r="Z91" s="119">
        <f t="shared" si="220"/>
        <v>1141.4176151062909</v>
      </c>
      <c r="AA91" s="119">
        <f t="shared" si="220"/>
        <v>1164.2459674084166</v>
      </c>
      <c r="AB91" s="119">
        <f t="shared" si="220"/>
        <v>1187.5308867565852</v>
      </c>
      <c r="AC91" s="119">
        <f t="shared" si="220"/>
        <v>1211.281504491717</v>
      </c>
      <c r="AD91" s="119">
        <f t="shared" si="220"/>
        <v>1235.5071345815511</v>
      </c>
      <c r="AE91" s="119">
        <f t="shared" si="220"/>
        <v>1260.2172772731824</v>
      </c>
      <c r="AF91" s="119">
        <f t="shared" si="220"/>
        <v>1285.421622818646</v>
      </c>
      <c r="AG91" s="119">
        <f t="shared" si="220"/>
        <v>1311.130055275019</v>
      </c>
      <c r="AH91" s="119">
        <f t="shared" si="220"/>
        <v>1337.3526563805194</v>
      </c>
      <c r="AI91" s="119">
        <f t="shared" si="220"/>
        <v>1364.0997095081298</v>
      </c>
      <c r="AJ91" s="119">
        <f t="shared" si="220"/>
        <v>1391.3817036982925</v>
      </c>
      <c r="AK91" s="119">
        <f t="shared" si="220"/>
        <v>1419.2093377722583</v>
      </c>
      <c r="AL91" s="119">
        <f t="shared" si="220"/>
        <v>1447.5935245277035</v>
      </c>
      <c r="AM91" s="119">
        <f t="shared" si="220"/>
        <v>1476.5453950182575</v>
      </c>
      <c r="AN91" s="119">
        <f t="shared" si="220"/>
        <v>1506.0763029186226</v>
      </c>
      <c r="AO91" s="119">
        <f t="shared" si="220"/>
        <v>1536.1978289769952</v>
      </c>
      <c r="AP91" s="119">
        <f t="shared" si="220"/>
        <v>1566.921785556535</v>
      </c>
      <c r="AQ91" s="119">
        <f t="shared" si="220"/>
        <v>1598.2602212676657</v>
      </c>
      <c r="AR91" s="119">
        <f t="shared" si="220"/>
        <v>1630.2254256930194</v>
      </c>
      <c r="AS91" s="119">
        <f t="shared" si="220"/>
        <v>1662.8299342068797</v>
      </c>
      <c r="AT91" s="119">
        <f t="shared" si="220"/>
        <v>1696.0865328910174</v>
      </c>
      <c r="AU91" s="119">
        <f t="shared" si="220"/>
        <v>1730.0082635488379</v>
      </c>
      <c r="AV91" s="119">
        <f t="shared" si="220"/>
        <v>1764.6084288198147</v>
      </c>
      <c r="AW91" s="119">
        <f t="shared" si="220"/>
        <v>1799.9005973962107</v>
      </c>
      <c r="AX91" s="119">
        <f t="shared" si="220"/>
        <v>1835.8986093441349</v>
      </c>
      <c r="AY91" s="119">
        <f t="shared" si="220"/>
        <v>1872.6165815310178</v>
      </c>
      <c r="AZ91" s="119">
        <f t="shared" si="220"/>
        <v>1910.0689131616382</v>
      </c>
      <c r="BA91" s="119">
        <f>BA62*$G$4*$B$91</f>
        <v>1948.2702914248709</v>
      </c>
      <c r="BB91" s="119">
        <f t="shared" ref="BB91:BJ91" si="221">BB62*$G$4*$B$91</f>
        <v>1987.2356972533685</v>
      </c>
      <c r="BC91" s="119">
        <f t="shared" si="221"/>
        <v>2026.9804111984358</v>
      </c>
      <c r="BD91" s="119">
        <f t="shared" si="221"/>
        <v>2067.5200194224044</v>
      </c>
      <c r="BE91" s="119">
        <f t="shared" si="221"/>
        <v>2108.8704198108526</v>
      </c>
      <c r="BF91" s="119">
        <f t="shared" si="221"/>
        <v>2151.0478282070699</v>
      </c>
      <c r="BG91" s="119">
        <f t="shared" si="221"/>
        <v>2194.0687847712115</v>
      </c>
      <c r="BH91" s="119">
        <f t="shared" si="221"/>
        <v>2237.9501604666352</v>
      </c>
      <c r="BI91" s="119">
        <f t="shared" si="221"/>
        <v>2282.7091636759683</v>
      </c>
      <c r="BJ91" s="119">
        <f t="shared" si="221"/>
        <v>2328.3633469494871</v>
      </c>
    </row>
    <row r="92" spans="1:62" outlineLevel="1" x14ac:dyDescent="0.25">
      <c r="A92" s="118" t="s">
        <v>213</v>
      </c>
      <c r="B92" s="119">
        <f>B21</f>
        <v>1500</v>
      </c>
      <c r="C92" s="119">
        <f t="shared" ref="C92:N92" si="222">C62*$G$5*$B$92</f>
        <v>0</v>
      </c>
      <c r="D92" s="119">
        <f t="shared" si="222"/>
        <v>0</v>
      </c>
      <c r="E92" s="119">
        <f t="shared" si="222"/>
        <v>0</v>
      </c>
      <c r="F92" s="119">
        <f t="shared" si="222"/>
        <v>0</v>
      </c>
      <c r="G92" s="119">
        <f t="shared" si="222"/>
        <v>0</v>
      </c>
      <c r="H92" s="119">
        <f t="shared" si="222"/>
        <v>0</v>
      </c>
      <c r="I92" s="119">
        <f t="shared" si="222"/>
        <v>0</v>
      </c>
      <c r="J92" s="119">
        <f t="shared" si="222"/>
        <v>0</v>
      </c>
      <c r="K92" s="119">
        <f t="shared" si="222"/>
        <v>0</v>
      </c>
      <c r="L92" s="119">
        <f t="shared" si="222"/>
        <v>0</v>
      </c>
      <c r="M92" s="119">
        <f t="shared" si="222"/>
        <v>0</v>
      </c>
      <c r="N92" s="119">
        <f t="shared" si="222"/>
        <v>1050</v>
      </c>
      <c r="O92" s="119">
        <f t="shared" ref="O92:AZ92" si="223">O62*$G$5*$B$92</f>
        <v>1071</v>
      </c>
      <c r="P92" s="119">
        <f t="shared" si="223"/>
        <v>1092.4199999999998</v>
      </c>
      <c r="Q92" s="119">
        <f t="shared" si="223"/>
        <v>1114.2683999999999</v>
      </c>
      <c r="R92" s="119">
        <f t="shared" si="223"/>
        <v>1136.553768</v>
      </c>
      <c r="S92" s="119">
        <f t="shared" si="223"/>
        <v>1159.28484336</v>
      </c>
      <c r="T92" s="119">
        <f t="shared" si="223"/>
        <v>1182.4705402272</v>
      </c>
      <c r="U92" s="119">
        <f t="shared" si="223"/>
        <v>1206.119951031744</v>
      </c>
      <c r="V92" s="119">
        <f t="shared" si="223"/>
        <v>1230.2423500523789</v>
      </c>
      <c r="W92" s="119">
        <f t="shared" si="223"/>
        <v>1254.8471970534265</v>
      </c>
      <c r="X92" s="119">
        <f t="shared" si="223"/>
        <v>1279.9441409944952</v>
      </c>
      <c r="Y92" s="119">
        <f t="shared" si="223"/>
        <v>1305.5430238143852</v>
      </c>
      <c r="Z92" s="119">
        <f t="shared" si="223"/>
        <v>1331.6538842906727</v>
      </c>
      <c r="AA92" s="119">
        <f t="shared" si="223"/>
        <v>1358.2869619764861</v>
      </c>
      <c r="AB92" s="119">
        <f t="shared" si="223"/>
        <v>1385.4527012160158</v>
      </c>
      <c r="AC92" s="119">
        <f t="shared" si="223"/>
        <v>1413.1617552403361</v>
      </c>
      <c r="AD92" s="119">
        <f t="shared" si="223"/>
        <v>1441.424990345143</v>
      </c>
      <c r="AE92" s="119">
        <f t="shared" si="223"/>
        <v>1470.253490152046</v>
      </c>
      <c r="AF92" s="119">
        <f t="shared" si="223"/>
        <v>1499.658559955087</v>
      </c>
      <c r="AG92" s="119">
        <f t="shared" si="223"/>
        <v>1529.6517311541888</v>
      </c>
      <c r="AH92" s="119">
        <f t="shared" si="223"/>
        <v>1560.2447657772725</v>
      </c>
      <c r="AI92" s="119">
        <f t="shared" si="223"/>
        <v>1591.4496610928179</v>
      </c>
      <c r="AJ92" s="119">
        <f t="shared" si="223"/>
        <v>1623.2786543146744</v>
      </c>
      <c r="AK92" s="119">
        <f t="shared" si="223"/>
        <v>1655.7442274009682</v>
      </c>
      <c r="AL92" s="119">
        <f t="shared" si="223"/>
        <v>1688.8591119489872</v>
      </c>
      <c r="AM92" s="119">
        <f t="shared" si="223"/>
        <v>1722.6362941879672</v>
      </c>
      <c r="AN92" s="119">
        <f t="shared" si="223"/>
        <v>1757.0890200717265</v>
      </c>
      <c r="AO92" s="119">
        <f t="shared" si="223"/>
        <v>1792.230800473161</v>
      </c>
      <c r="AP92" s="119">
        <f t="shared" si="223"/>
        <v>1828.0754164826244</v>
      </c>
      <c r="AQ92" s="119">
        <f t="shared" si="223"/>
        <v>1864.6369248122767</v>
      </c>
      <c r="AR92" s="119">
        <f t="shared" si="223"/>
        <v>1901.9296633085225</v>
      </c>
      <c r="AS92" s="119">
        <f t="shared" si="223"/>
        <v>1939.9682565746928</v>
      </c>
      <c r="AT92" s="119">
        <f t="shared" si="223"/>
        <v>1978.7676217061869</v>
      </c>
      <c r="AU92" s="119">
        <f t="shared" si="223"/>
        <v>2018.3429741403108</v>
      </c>
      <c r="AV92" s="119">
        <f t="shared" si="223"/>
        <v>2058.709833623117</v>
      </c>
      <c r="AW92" s="119">
        <f t="shared" si="223"/>
        <v>2099.8840302955796</v>
      </c>
      <c r="AX92" s="119">
        <f t="shared" si="223"/>
        <v>2141.8817109014908</v>
      </c>
      <c r="AY92" s="119">
        <f t="shared" si="223"/>
        <v>2184.7193451195208</v>
      </c>
      <c r="AZ92" s="119">
        <f t="shared" si="223"/>
        <v>2228.4137320219111</v>
      </c>
      <c r="BA92" s="119">
        <f>BA62*$G$5*$B$92</f>
        <v>2272.9820066623497</v>
      </c>
      <c r="BB92" s="119">
        <f t="shared" ref="BB92:BJ92" si="224">BB62*$G$5*$B$92</f>
        <v>2318.4416467955966</v>
      </c>
      <c r="BC92" s="119">
        <f t="shared" si="224"/>
        <v>2364.8104797315082</v>
      </c>
      <c r="BD92" s="119">
        <f t="shared" si="224"/>
        <v>2412.1066893261386</v>
      </c>
      <c r="BE92" s="119">
        <f t="shared" si="224"/>
        <v>2460.3488231126616</v>
      </c>
      <c r="BF92" s="119">
        <f t="shared" si="224"/>
        <v>2509.5557995749145</v>
      </c>
      <c r="BG92" s="119">
        <f t="shared" si="224"/>
        <v>2559.746915566413</v>
      </c>
      <c r="BH92" s="119">
        <f t="shared" si="224"/>
        <v>2610.9418538777413</v>
      </c>
      <c r="BI92" s="119">
        <f t="shared" si="224"/>
        <v>2663.1606909552956</v>
      </c>
      <c r="BJ92" s="119">
        <f t="shared" si="224"/>
        <v>2716.4239047744018</v>
      </c>
    </row>
    <row r="93" spans="1:62" outlineLevel="1" x14ac:dyDescent="0.25">
      <c r="A93" s="93" t="s">
        <v>231</v>
      </c>
      <c r="B93" s="122"/>
      <c r="C93" s="123">
        <f>SUM(C94:C95)</f>
        <v>0</v>
      </c>
      <c r="D93" s="123">
        <f t="shared" ref="D93" si="225">SUM(D94:D95)</f>
        <v>0</v>
      </c>
      <c r="E93" s="123">
        <f t="shared" ref="E93" si="226">SUM(E94:E95)</f>
        <v>0</v>
      </c>
      <c r="F93" s="123">
        <f t="shared" ref="F93" si="227">SUM(F94:F95)</f>
        <v>0</v>
      </c>
      <c r="G93" s="123">
        <f t="shared" ref="G93" si="228">SUM(G94:G95)</f>
        <v>0</v>
      </c>
      <c r="H93" s="123">
        <f t="shared" ref="H93" si="229">SUM(H94:H95)</f>
        <v>0</v>
      </c>
      <c r="I93" s="123">
        <f t="shared" ref="I93" si="230">SUM(I94:I95)</f>
        <v>0</v>
      </c>
      <c r="J93" s="123">
        <f t="shared" ref="J93" si="231">SUM(J94:J95)</f>
        <v>0</v>
      </c>
      <c r="K93" s="123">
        <f t="shared" ref="K93" si="232">SUM(K94:K95)</f>
        <v>757.49999999999989</v>
      </c>
      <c r="L93" s="123">
        <f t="shared" ref="L93" si="233">SUM(L94:L95)</f>
        <v>757.49999999999989</v>
      </c>
      <c r="M93" s="123">
        <f t="shared" ref="M93" si="234">SUM(M94:M95)</f>
        <v>757.49999999999989</v>
      </c>
      <c r="N93" s="123">
        <f t="shared" ref="N93:AZ93" si="235">SUM(N94:N95)</f>
        <v>757.49999999999989</v>
      </c>
      <c r="O93" s="123">
        <f t="shared" si="235"/>
        <v>757.49999999999989</v>
      </c>
      <c r="P93" s="123">
        <f t="shared" si="235"/>
        <v>757.49999999999989</v>
      </c>
      <c r="Q93" s="123">
        <f t="shared" si="235"/>
        <v>757.49999999999989</v>
      </c>
      <c r="R93" s="123">
        <f t="shared" si="235"/>
        <v>757.49999999999989</v>
      </c>
      <c r="S93" s="123">
        <f t="shared" si="235"/>
        <v>757.49999999999989</v>
      </c>
      <c r="T93" s="123">
        <f t="shared" si="235"/>
        <v>757.49999999999989</v>
      </c>
      <c r="U93" s="123">
        <f t="shared" si="235"/>
        <v>757.49999999999989</v>
      </c>
      <c r="V93" s="123">
        <f t="shared" si="235"/>
        <v>757.49999999999989</v>
      </c>
      <c r="W93" s="123">
        <f t="shared" si="235"/>
        <v>757.49999999999989</v>
      </c>
      <c r="X93" s="123">
        <f t="shared" si="235"/>
        <v>757.49999999999989</v>
      </c>
      <c r="Y93" s="123">
        <f t="shared" si="235"/>
        <v>757.49999999999989</v>
      </c>
      <c r="Z93" s="123">
        <f t="shared" si="235"/>
        <v>757.49999999999989</v>
      </c>
      <c r="AA93" s="123">
        <f t="shared" si="235"/>
        <v>757.49999999999989</v>
      </c>
      <c r="AB93" s="123">
        <f t="shared" si="235"/>
        <v>757.49999999999989</v>
      </c>
      <c r="AC93" s="123">
        <f t="shared" si="235"/>
        <v>757.49999999999989</v>
      </c>
      <c r="AD93" s="123">
        <f t="shared" si="235"/>
        <v>757.49999999999989</v>
      </c>
      <c r="AE93" s="123">
        <f t="shared" si="235"/>
        <v>757.49999999999989</v>
      </c>
      <c r="AF93" s="123">
        <f t="shared" si="235"/>
        <v>757.49999999999989</v>
      </c>
      <c r="AG93" s="123">
        <f t="shared" si="235"/>
        <v>757.49999999999989</v>
      </c>
      <c r="AH93" s="123">
        <f t="shared" si="235"/>
        <v>757.49999999999989</v>
      </c>
      <c r="AI93" s="123">
        <f t="shared" si="235"/>
        <v>757.49999999999989</v>
      </c>
      <c r="AJ93" s="123">
        <f t="shared" si="235"/>
        <v>757.49999999999989</v>
      </c>
      <c r="AK93" s="123">
        <f t="shared" si="235"/>
        <v>757.49999999999989</v>
      </c>
      <c r="AL93" s="123">
        <f t="shared" si="235"/>
        <v>757.49999999999989</v>
      </c>
      <c r="AM93" s="123">
        <f t="shared" si="235"/>
        <v>757.49999999999989</v>
      </c>
      <c r="AN93" s="123">
        <f t="shared" si="235"/>
        <v>757.49999999999989</v>
      </c>
      <c r="AO93" s="123">
        <f t="shared" si="235"/>
        <v>757.49999999999989</v>
      </c>
      <c r="AP93" s="123">
        <f t="shared" si="235"/>
        <v>757.49999999999989</v>
      </c>
      <c r="AQ93" s="123">
        <f t="shared" si="235"/>
        <v>757.49999999999989</v>
      </c>
      <c r="AR93" s="123">
        <f t="shared" si="235"/>
        <v>757.49999999999989</v>
      </c>
      <c r="AS93" s="123">
        <f t="shared" si="235"/>
        <v>757.49999999999989</v>
      </c>
      <c r="AT93" s="123">
        <f t="shared" si="235"/>
        <v>757.49999999999989</v>
      </c>
      <c r="AU93" s="123">
        <f t="shared" si="235"/>
        <v>757.49999999999989</v>
      </c>
      <c r="AV93" s="123">
        <f t="shared" si="235"/>
        <v>757.49999999999989</v>
      </c>
      <c r="AW93" s="123">
        <f t="shared" si="235"/>
        <v>757.49999999999989</v>
      </c>
      <c r="AX93" s="123">
        <f t="shared" si="235"/>
        <v>757.49999999999989</v>
      </c>
      <c r="AY93" s="123">
        <f t="shared" si="235"/>
        <v>757.49999999999989</v>
      </c>
      <c r="AZ93" s="123">
        <f t="shared" si="235"/>
        <v>757.49999999999989</v>
      </c>
      <c r="BA93" s="123">
        <f t="shared" ref="BA93:BJ93" si="236">SUM(BA94:BA95)</f>
        <v>757.49999999999989</v>
      </c>
      <c r="BB93" s="123">
        <f t="shared" si="236"/>
        <v>757.49999999999989</v>
      </c>
      <c r="BC93" s="123">
        <f t="shared" si="236"/>
        <v>757.49999999999989</v>
      </c>
      <c r="BD93" s="123">
        <f t="shared" si="236"/>
        <v>757.49999999999989</v>
      </c>
      <c r="BE93" s="123">
        <f t="shared" si="236"/>
        <v>757.49999999999989</v>
      </c>
      <c r="BF93" s="123">
        <f t="shared" si="236"/>
        <v>757.49999999999989</v>
      </c>
      <c r="BG93" s="123">
        <f t="shared" si="236"/>
        <v>757.49999999999989</v>
      </c>
      <c r="BH93" s="123">
        <f t="shared" si="236"/>
        <v>757.49999999999989</v>
      </c>
      <c r="BI93" s="123">
        <f t="shared" si="236"/>
        <v>757.49999999999989</v>
      </c>
      <c r="BJ93" s="123">
        <f t="shared" si="236"/>
        <v>757.49999999999989</v>
      </c>
    </row>
    <row r="94" spans="1:62" outlineLevel="1" x14ac:dyDescent="0.25">
      <c r="A94" s="118" t="s">
        <v>214</v>
      </c>
      <c r="B94" s="119">
        <f>B23</f>
        <v>1500</v>
      </c>
      <c r="C94" s="119">
        <f t="shared" ref="C94:N94" si="237">C63*$G$4*$B$94</f>
        <v>0</v>
      </c>
      <c r="D94" s="119">
        <f t="shared" si="237"/>
        <v>0</v>
      </c>
      <c r="E94" s="119">
        <f t="shared" si="237"/>
        <v>0</v>
      </c>
      <c r="F94" s="119">
        <f t="shared" si="237"/>
        <v>0</v>
      </c>
      <c r="G94" s="119">
        <f t="shared" si="237"/>
        <v>0</v>
      </c>
      <c r="H94" s="119">
        <f t="shared" si="237"/>
        <v>0</v>
      </c>
      <c r="I94" s="119">
        <f t="shared" si="237"/>
        <v>0</v>
      </c>
      <c r="J94" s="119">
        <f t="shared" si="237"/>
        <v>0</v>
      </c>
      <c r="K94" s="119">
        <f t="shared" si="237"/>
        <v>337.49999999999994</v>
      </c>
      <c r="L94" s="119">
        <f t="shared" si="237"/>
        <v>337.49999999999994</v>
      </c>
      <c r="M94" s="119">
        <f t="shared" si="237"/>
        <v>337.49999999999994</v>
      </c>
      <c r="N94" s="119">
        <f t="shared" si="237"/>
        <v>337.49999999999994</v>
      </c>
      <c r="O94" s="119">
        <f t="shared" ref="O94:AZ94" si="238">O63*$G$4*$B$94</f>
        <v>337.49999999999994</v>
      </c>
      <c r="P94" s="119">
        <f t="shared" si="238"/>
        <v>337.49999999999994</v>
      </c>
      <c r="Q94" s="119">
        <f t="shared" si="238"/>
        <v>337.49999999999994</v>
      </c>
      <c r="R94" s="119">
        <f t="shared" si="238"/>
        <v>337.49999999999994</v>
      </c>
      <c r="S94" s="119">
        <f t="shared" si="238"/>
        <v>337.49999999999994</v>
      </c>
      <c r="T94" s="119">
        <f t="shared" si="238"/>
        <v>337.49999999999994</v>
      </c>
      <c r="U94" s="119">
        <f t="shared" si="238"/>
        <v>337.49999999999994</v>
      </c>
      <c r="V94" s="119">
        <f t="shared" si="238"/>
        <v>337.49999999999994</v>
      </c>
      <c r="W94" s="119">
        <f t="shared" si="238"/>
        <v>337.49999999999994</v>
      </c>
      <c r="X94" s="119">
        <f t="shared" si="238"/>
        <v>337.49999999999994</v>
      </c>
      <c r="Y94" s="119">
        <f t="shared" si="238"/>
        <v>337.49999999999994</v>
      </c>
      <c r="Z94" s="119">
        <f t="shared" si="238"/>
        <v>337.49999999999994</v>
      </c>
      <c r="AA94" s="119">
        <f t="shared" si="238"/>
        <v>337.49999999999994</v>
      </c>
      <c r="AB94" s="119">
        <f t="shared" si="238"/>
        <v>337.49999999999994</v>
      </c>
      <c r="AC94" s="119">
        <f t="shared" si="238"/>
        <v>337.49999999999994</v>
      </c>
      <c r="AD94" s="119">
        <f t="shared" si="238"/>
        <v>337.49999999999994</v>
      </c>
      <c r="AE94" s="119">
        <f t="shared" si="238"/>
        <v>337.49999999999994</v>
      </c>
      <c r="AF94" s="119">
        <f t="shared" si="238"/>
        <v>337.49999999999994</v>
      </c>
      <c r="AG94" s="119">
        <f t="shared" si="238"/>
        <v>337.49999999999994</v>
      </c>
      <c r="AH94" s="119">
        <f t="shared" si="238"/>
        <v>337.49999999999994</v>
      </c>
      <c r="AI94" s="119">
        <f t="shared" si="238"/>
        <v>337.49999999999994</v>
      </c>
      <c r="AJ94" s="119">
        <f t="shared" si="238"/>
        <v>337.49999999999994</v>
      </c>
      <c r="AK94" s="119">
        <f t="shared" si="238"/>
        <v>337.49999999999994</v>
      </c>
      <c r="AL94" s="119">
        <f t="shared" si="238"/>
        <v>337.49999999999994</v>
      </c>
      <c r="AM94" s="119">
        <f t="shared" si="238"/>
        <v>337.49999999999994</v>
      </c>
      <c r="AN94" s="119">
        <f t="shared" si="238"/>
        <v>337.49999999999994</v>
      </c>
      <c r="AO94" s="119">
        <f t="shared" si="238"/>
        <v>337.49999999999994</v>
      </c>
      <c r="AP94" s="119">
        <f t="shared" si="238"/>
        <v>337.49999999999994</v>
      </c>
      <c r="AQ94" s="119">
        <f t="shared" si="238"/>
        <v>337.49999999999994</v>
      </c>
      <c r="AR94" s="119">
        <f t="shared" si="238"/>
        <v>337.49999999999994</v>
      </c>
      <c r="AS94" s="119">
        <f t="shared" si="238"/>
        <v>337.49999999999994</v>
      </c>
      <c r="AT94" s="119">
        <f t="shared" si="238"/>
        <v>337.49999999999994</v>
      </c>
      <c r="AU94" s="119">
        <f t="shared" si="238"/>
        <v>337.49999999999994</v>
      </c>
      <c r="AV94" s="119">
        <f t="shared" si="238"/>
        <v>337.49999999999994</v>
      </c>
      <c r="AW94" s="119">
        <f t="shared" si="238"/>
        <v>337.49999999999994</v>
      </c>
      <c r="AX94" s="119">
        <f t="shared" si="238"/>
        <v>337.49999999999994</v>
      </c>
      <c r="AY94" s="119">
        <f t="shared" si="238"/>
        <v>337.49999999999994</v>
      </c>
      <c r="AZ94" s="119">
        <f t="shared" si="238"/>
        <v>337.49999999999994</v>
      </c>
      <c r="BA94" s="119">
        <f>BA63*$G$4*$B$94</f>
        <v>337.49999999999994</v>
      </c>
      <c r="BB94" s="119">
        <f t="shared" ref="BB94:BJ94" si="239">BB63*$G$4*$B$94</f>
        <v>337.49999999999994</v>
      </c>
      <c r="BC94" s="119">
        <f t="shared" si="239"/>
        <v>337.49999999999994</v>
      </c>
      <c r="BD94" s="119">
        <f t="shared" si="239"/>
        <v>337.49999999999994</v>
      </c>
      <c r="BE94" s="119">
        <f t="shared" si="239"/>
        <v>337.49999999999994</v>
      </c>
      <c r="BF94" s="119">
        <f t="shared" si="239"/>
        <v>337.49999999999994</v>
      </c>
      <c r="BG94" s="119">
        <f t="shared" si="239"/>
        <v>337.49999999999994</v>
      </c>
      <c r="BH94" s="119">
        <f t="shared" si="239"/>
        <v>337.49999999999994</v>
      </c>
      <c r="BI94" s="119">
        <f t="shared" si="239"/>
        <v>337.49999999999994</v>
      </c>
      <c r="BJ94" s="119">
        <f t="shared" si="239"/>
        <v>337.49999999999994</v>
      </c>
    </row>
    <row r="95" spans="1:62" outlineLevel="1" x14ac:dyDescent="0.25">
      <c r="A95" s="118" t="s">
        <v>213</v>
      </c>
      <c r="B95" s="119">
        <f>B24</f>
        <v>800</v>
      </c>
      <c r="C95" s="119">
        <f t="shared" ref="C95:N95" si="240">C63*$G$5*$B$95</f>
        <v>0</v>
      </c>
      <c r="D95" s="119">
        <f t="shared" si="240"/>
        <v>0</v>
      </c>
      <c r="E95" s="119">
        <f t="shared" si="240"/>
        <v>0</v>
      </c>
      <c r="F95" s="119">
        <f t="shared" si="240"/>
        <v>0</v>
      </c>
      <c r="G95" s="119">
        <f t="shared" si="240"/>
        <v>0</v>
      </c>
      <c r="H95" s="119">
        <f t="shared" si="240"/>
        <v>0</v>
      </c>
      <c r="I95" s="119">
        <f t="shared" si="240"/>
        <v>0</v>
      </c>
      <c r="J95" s="119">
        <f t="shared" si="240"/>
        <v>0</v>
      </c>
      <c r="K95" s="119">
        <f t="shared" si="240"/>
        <v>419.99999999999994</v>
      </c>
      <c r="L95" s="119">
        <f t="shared" si="240"/>
        <v>419.99999999999994</v>
      </c>
      <c r="M95" s="119">
        <f t="shared" si="240"/>
        <v>419.99999999999994</v>
      </c>
      <c r="N95" s="119">
        <f t="shared" si="240"/>
        <v>419.99999999999994</v>
      </c>
      <c r="O95" s="119">
        <f t="shared" ref="O95:AZ95" si="241">O63*$G$5*$B$95</f>
        <v>419.99999999999994</v>
      </c>
      <c r="P95" s="119">
        <f t="shared" si="241"/>
        <v>419.99999999999994</v>
      </c>
      <c r="Q95" s="119">
        <f t="shared" si="241"/>
        <v>419.99999999999994</v>
      </c>
      <c r="R95" s="119">
        <f t="shared" si="241"/>
        <v>419.99999999999994</v>
      </c>
      <c r="S95" s="119">
        <f t="shared" si="241"/>
        <v>419.99999999999994</v>
      </c>
      <c r="T95" s="119">
        <f t="shared" si="241"/>
        <v>419.99999999999994</v>
      </c>
      <c r="U95" s="119">
        <f t="shared" si="241"/>
        <v>419.99999999999994</v>
      </c>
      <c r="V95" s="119">
        <f t="shared" si="241"/>
        <v>419.99999999999994</v>
      </c>
      <c r="W95" s="119">
        <f t="shared" si="241"/>
        <v>419.99999999999994</v>
      </c>
      <c r="X95" s="119">
        <f t="shared" si="241"/>
        <v>419.99999999999994</v>
      </c>
      <c r="Y95" s="119">
        <f t="shared" si="241"/>
        <v>419.99999999999994</v>
      </c>
      <c r="Z95" s="119">
        <f t="shared" si="241"/>
        <v>419.99999999999994</v>
      </c>
      <c r="AA95" s="119">
        <f t="shared" si="241"/>
        <v>419.99999999999994</v>
      </c>
      <c r="AB95" s="119">
        <f t="shared" si="241"/>
        <v>419.99999999999994</v>
      </c>
      <c r="AC95" s="119">
        <f t="shared" si="241"/>
        <v>419.99999999999994</v>
      </c>
      <c r="AD95" s="119">
        <f t="shared" si="241"/>
        <v>419.99999999999994</v>
      </c>
      <c r="AE95" s="119">
        <f t="shared" si="241"/>
        <v>419.99999999999994</v>
      </c>
      <c r="AF95" s="119">
        <f t="shared" si="241"/>
        <v>419.99999999999994</v>
      </c>
      <c r="AG95" s="119">
        <f t="shared" si="241"/>
        <v>419.99999999999994</v>
      </c>
      <c r="AH95" s="119">
        <f t="shared" si="241"/>
        <v>419.99999999999994</v>
      </c>
      <c r="AI95" s="119">
        <f t="shared" si="241"/>
        <v>419.99999999999994</v>
      </c>
      <c r="AJ95" s="119">
        <f t="shared" si="241"/>
        <v>419.99999999999994</v>
      </c>
      <c r="AK95" s="119">
        <f t="shared" si="241"/>
        <v>419.99999999999994</v>
      </c>
      <c r="AL95" s="119">
        <f t="shared" si="241"/>
        <v>419.99999999999994</v>
      </c>
      <c r="AM95" s="119">
        <f t="shared" si="241"/>
        <v>419.99999999999994</v>
      </c>
      <c r="AN95" s="119">
        <f t="shared" si="241"/>
        <v>419.99999999999994</v>
      </c>
      <c r="AO95" s="119">
        <f t="shared" si="241"/>
        <v>419.99999999999994</v>
      </c>
      <c r="AP95" s="119">
        <f t="shared" si="241"/>
        <v>419.99999999999994</v>
      </c>
      <c r="AQ95" s="119">
        <f t="shared" si="241"/>
        <v>419.99999999999994</v>
      </c>
      <c r="AR95" s="119">
        <f t="shared" si="241"/>
        <v>419.99999999999994</v>
      </c>
      <c r="AS95" s="119">
        <f t="shared" si="241"/>
        <v>419.99999999999994</v>
      </c>
      <c r="AT95" s="119">
        <f t="shared" si="241"/>
        <v>419.99999999999994</v>
      </c>
      <c r="AU95" s="119">
        <f t="shared" si="241"/>
        <v>419.99999999999994</v>
      </c>
      <c r="AV95" s="119">
        <f t="shared" si="241"/>
        <v>419.99999999999994</v>
      </c>
      <c r="AW95" s="119">
        <f t="shared" si="241"/>
        <v>419.99999999999994</v>
      </c>
      <c r="AX95" s="119">
        <f t="shared" si="241"/>
        <v>419.99999999999994</v>
      </c>
      <c r="AY95" s="119">
        <f t="shared" si="241"/>
        <v>419.99999999999994</v>
      </c>
      <c r="AZ95" s="119">
        <f t="shared" si="241"/>
        <v>419.99999999999994</v>
      </c>
      <c r="BA95" s="119">
        <f>BA63*$G$5*$B$95</f>
        <v>419.99999999999994</v>
      </c>
      <c r="BB95" s="119">
        <f t="shared" ref="BB95:BJ95" si="242">BB63*$G$5*$B$95</f>
        <v>419.99999999999994</v>
      </c>
      <c r="BC95" s="119">
        <f t="shared" si="242"/>
        <v>419.99999999999994</v>
      </c>
      <c r="BD95" s="119">
        <f t="shared" si="242"/>
        <v>419.99999999999994</v>
      </c>
      <c r="BE95" s="119">
        <f t="shared" si="242"/>
        <v>419.99999999999994</v>
      </c>
      <c r="BF95" s="119">
        <f t="shared" si="242"/>
        <v>419.99999999999994</v>
      </c>
      <c r="BG95" s="119">
        <f t="shared" si="242"/>
        <v>419.99999999999994</v>
      </c>
      <c r="BH95" s="119">
        <f t="shared" si="242"/>
        <v>419.99999999999994</v>
      </c>
      <c r="BI95" s="119">
        <f t="shared" si="242"/>
        <v>419.99999999999994</v>
      </c>
      <c r="BJ95" s="119">
        <f t="shared" si="242"/>
        <v>419.99999999999994</v>
      </c>
    </row>
    <row r="96" spans="1:62" outlineLevel="1" x14ac:dyDescent="0.25">
      <c r="A96" s="93" t="s">
        <v>231</v>
      </c>
      <c r="B96" s="122"/>
      <c r="C96" s="123">
        <f>SUM(C97:C98)</f>
        <v>0</v>
      </c>
      <c r="D96" s="123">
        <f t="shared" ref="D96" si="243">SUM(D97:D98)</f>
        <v>0</v>
      </c>
      <c r="E96" s="123">
        <f t="shared" ref="E96" si="244">SUM(E97:E98)</f>
        <v>0</v>
      </c>
      <c r="F96" s="123">
        <f t="shared" ref="F96" si="245">SUM(F97:F98)</f>
        <v>0</v>
      </c>
      <c r="G96" s="123">
        <f t="shared" ref="G96" si="246">SUM(G97:G98)</f>
        <v>0</v>
      </c>
      <c r="H96" s="123">
        <f t="shared" ref="H96" si="247">SUM(H97:H98)</f>
        <v>0</v>
      </c>
      <c r="I96" s="123">
        <f t="shared" ref="I96" si="248">SUM(I97:I98)</f>
        <v>0</v>
      </c>
      <c r="J96" s="123">
        <f t="shared" ref="J96" si="249">SUM(J97:J98)</f>
        <v>0</v>
      </c>
      <c r="K96" s="123">
        <f t="shared" ref="K96" si="250">SUM(K97:K98)</f>
        <v>0</v>
      </c>
      <c r="L96" s="123">
        <f t="shared" ref="L96" si="251">SUM(L97:L98)</f>
        <v>757.49999999999989</v>
      </c>
      <c r="M96" s="123">
        <f t="shared" ref="M96" si="252">SUM(M97:M98)</f>
        <v>757.49999999999989</v>
      </c>
      <c r="N96" s="123">
        <f t="shared" ref="N96:AZ96" si="253">SUM(N97:N98)</f>
        <v>757.49999999999989</v>
      </c>
      <c r="O96" s="123">
        <f t="shared" si="253"/>
        <v>757.49999999999989</v>
      </c>
      <c r="P96" s="123">
        <f t="shared" si="253"/>
        <v>757.49999999999989</v>
      </c>
      <c r="Q96" s="123">
        <f t="shared" si="253"/>
        <v>757.49999999999989</v>
      </c>
      <c r="R96" s="123">
        <f t="shared" si="253"/>
        <v>757.49999999999989</v>
      </c>
      <c r="S96" s="123">
        <f t="shared" si="253"/>
        <v>757.49999999999989</v>
      </c>
      <c r="T96" s="123">
        <f t="shared" si="253"/>
        <v>757.49999999999989</v>
      </c>
      <c r="U96" s="123">
        <f t="shared" si="253"/>
        <v>757.49999999999989</v>
      </c>
      <c r="V96" s="123">
        <f t="shared" si="253"/>
        <v>757.49999999999989</v>
      </c>
      <c r="W96" s="123">
        <f t="shared" si="253"/>
        <v>757.49999999999989</v>
      </c>
      <c r="X96" s="123">
        <f t="shared" si="253"/>
        <v>757.49999999999989</v>
      </c>
      <c r="Y96" s="123">
        <f t="shared" si="253"/>
        <v>757.49999999999989</v>
      </c>
      <c r="Z96" s="123">
        <f t="shared" si="253"/>
        <v>757.49999999999989</v>
      </c>
      <c r="AA96" s="123">
        <f t="shared" si="253"/>
        <v>757.49999999999989</v>
      </c>
      <c r="AB96" s="123">
        <f t="shared" si="253"/>
        <v>757.49999999999989</v>
      </c>
      <c r="AC96" s="123">
        <f t="shared" si="253"/>
        <v>757.49999999999989</v>
      </c>
      <c r="AD96" s="123">
        <f t="shared" si="253"/>
        <v>757.49999999999989</v>
      </c>
      <c r="AE96" s="123">
        <f t="shared" si="253"/>
        <v>757.49999999999989</v>
      </c>
      <c r="AF96" s="123">
        <f t="shared" si="253"/>
        <v>757.49999999999989</v>
      </c>
      <c r="AG96" s="123">
        <f t="shared" si="253"/>
        <v>757.49999999999989</v>
      </c>
      <c r="AH96" s="123">
        <f t="shared" si="253"/>
        <v>757.49999999999989</v>
      </c>
      <c r="AI96" s="123">
        <f t="shared" si="253"/>
        <v>757.49999999999989</v>
      </c>
      <c r="AJ96" s="123">
        <f t="shared" si="253"/>
        <v>757.49999999999989</v>
      </c>
      <c r="AK96" s="123">
        <f t="shared" si="253"/>
        <v>757.49999999999989</v>
      </c>
      <c r="AL96" s="123">
        <f t="shared" si="253"/>
        <v>757.49999999999989</v>
      </c>
      <c r="AM96" s="123">
        <f t="shared" si="253"/>
        <v>757.49999999999989</v>
      </c>
      <c r="AN96" s="123">
        <f t="shared" si="253"/>
        <v>757.49999999999989</v>
      </c>
      <c r="AO96" s="123">
        <f t="shared" si="253"/>
        <v>757.49999999999989</v>
      </c>
      <c r="AP96" s="123">
        <f t="shared" si="253"/>
        <v>757.49999999999989</v>
      </c>
      <c r="AQ96" s="123">
        <f t="shared" si="253"/>
        <v>757.49999999999989</v>
      </c>
      <c r="AR96" s="123">
        <f t="shared" si="253"/>
        <v>757.49999999999989</v>
      </c>
      <c r="AS96" s="123">
        <f t="shared" si="253"/>
        <v>757.49999999999989</v>
      </c>
      <c r="AT96" s="123">
        <f t="shared" si="253"/>
        <v>757.49999999999989</v>
      </c>
      <c r="AU96" s="123">
        <f t="shared" si="253"/>
        <v>757.49999999999989</v>
      </c>
      <c r="AV96" s="123">
        <f t="shared" si="253"/>
        <v>757.49999999999989</v>
      </c>
      <c r="AW96" s="123">
        <f t="shared" si="253"/>
        <v>757.49999999999989</v>
      </c>
      <c r="AX96" s="123">
        <f t="shared" si="253"/>
        <v>757.49999999999989</v>
      </c>
      <c r="AY96" s="123">
        <f t="shared" si="253"/>
        <v>757.49999999999989</v>
      </c>
      <c r="AZ96" s="123">
        <f t="shared" si="253"/>
        <v>757.49999999999989</v>
      </c>
      <c r="BA96" s="123">
        <f t="shared" ref="BA96:BJ96" si="254">SUM(BA97:BA98)</f>
        <v>757.49999999999989</v>
      </c>
      <c r="BB96" s="123">
        <f t="shared" si="254"/>
        <v>757.49999999999989</v>
      </c>
      <c r="BC96" s="123">
        <f t="shared" si="254"/>
        <v>757.49999999999989</v>
      </c>
      <c r="BD96" s="123">
        <f t="shared" si="254"/>
        <v>757.49999999999989</v>
      </c>
      <c r="BE96" s="123">
        <f t="shared" si="254"/>
        <v>757.49999999999989</v>
      </c>
      <c r="BF96" s="123">
        <f t="shared" si="254"/>
        <v>757.49999999999989</v>
      </c>
      <c r="BG96" s="123">
        <f t="shared" si="254"/>
        <v>757.49999999999989</v>
      </c>
      <c r="BH96" s="123">
        <f t="shared" si="254"/>
        <v>757.49999999999989</v>
      </c>
      <c r="BI96" s="123">
        <f t="shared" si="254"/>
        <v>757.49999999999989</v>
      </c>
      <c r="BJ96" s="123">
        <f t="shared" si="254"/>
        <v>757.49999999999989</v>
      </c>
    </row>
    <row r="97" spans="1:62" outlineLevel="1" x14ac:dyDescent="0.25">
      <c r="A97" s="118" t="s">
        <v>214</v>
      </c>
      <c r="B97" s="119">
        <f>$B$23</f>
        <v>1500</v>
      </c>
      <c r="C97" s="119">
        <f t="shared" ref="C97:N97" si="255">C64*$G$4*$B$97</f>
        <v>0</v>
      </c>
      <c r="D97" s="119">
        <f t="shared" si="255"/>
        <v>0</v>
      </c>
      <c r="E97" s="119">
        <f t="shared" si="255"/>
        <v>0</v>
      </c>
      <c r="F97" s="119">
        <f t="shared" si="255"/>
        <v>0</v>
      </c>
      <c r="G97" s="119">
        <f t="shared" si="255"/>
        <v>0</v>
      </c>
      <c r="H97" s="119">
        <f t="shared" si="255"/>
        <v>0</v>
      </c>
      <c r="I97" s="119">
        <f t="shared" si="255"/>
        <v>0</v>
      </c>
      <c r="J97" s="119">
        <f t="shared" si="255"/>
        <v>0</v>
      </c>
      <c r="K97" s="119">
        <f t="shared" si="255"/>
        <v>0</v>
      </c>
      <c r="L97" s="119">
        <f t="shared" si="255"/>
        <v>337.49999999999994</v>
      </c>
      <c r="M97" s="119">
        <f t="shared" si="255"/>
        <v>337.49999999999994</v>
      </c>
      <c r="N97" s="119">
        <f t="shared" si="255"/>
        <v>337.49999999999994</v>
      </c>
      <c r="O97" s="119">
        <f t="shared" ref="O97:AZ97" si="256">O64*$G$4*$B$97</f>
        <v>337.49999999999994</v>
      </c>
      <c r="P97" s="119">
        <f t="shared" si="256"/>
        <v>337.49999999999994</v>
      </c>
      <c r="Q97" s="119">
        <f t="shared" si="256"/>
        <v>337.49999999999994</v>
      </c>
      <c r="R97" s="119">
        <f t="shared" si="256"/>
        <v>337.49999999999994</v>
      </c>
      <c r="S97" s="119">
        <f t="shared" si="256"/>
        <v>337.49999999999994</v>
      </c>
      <c r="T97" s="119">
        <f t="shared" si="256"/>
        <v>337.49999999999994</v>
      </c>
      <c r="U97" s="119">
        <f t="shared" si="256"/>
        <v>337.49999999999994</v>
      </c>
      <c r="V97" s="119">
        <f t="shared" si="256"/>
        <v>337.49999999999994</v>
      </c>
      <c r="W97" s="119">
        <f t="shared" si="256"/>
        <v>337.49999999999994</v>
      </c>
      <c r="X97" s="119">
        <f t="shared" si="256"/>
        <v>337.49999999999994</v>
      </c>
      <c r="Y97" s="119">
        <f t="shared" si="256"/>
        <v>337.49999999999994</v>
      </c>
      <c r="Z97" s="119">
        <f t="shared" si="256"/>
        <v>337.49999999999994</v>
      </c>
      <c r="AA97" s="119">
        <f t="shared" si="256"/>
        <v>337.49999999999994</v>
      </c>
      <c r="AB97" s="119">
        <f t="shared" si="256"/>
        <v>337.49999999999994</v>
      </c>
      <c r="AC97" s="119">
        <f t="shared" si="256"/>
        <v>337.49999999999994</v>
      </c>
      <c r="AD97" s="119">
        <f t="shared" si="256"/>
        <v>337.49999999999994</v>
      </c>
      <c r="AE97" s="119">
        <f t="shared" si="256"/>
        <v>337.49999999999994</v>
      </c>
      <c r="AF97" s="119">
        <f t="shared" si="256"/>
        <v>337.49999999999994</v>
      </c>
      <c r="AG97" s="119">
        <f t="shared" si="256"/>
        <v>337.49999999999994</v>
      </c>
      <c r="AH97" s="119">
        <f t="shared" si="256"/>
        <v>337.49999999999994</v>
      </c>
      <c r="AI97" s="119">
        <f t="shared" si="256"/>
        <v>337.49999999999994</v>
      </c>
      <c r="AJ97" s="119">
        <f t="shared" si="256"/>
        <v>337.49999999999994</v>
      </c>
      <c r="AK97" s="119">
        <f t="shared" si="256"/>
        <v>337.49999999999994</v>
      </c>
      <c r="AL97" s="119">
        <f t="shared" si="256"/>
        <v>337.49999999999994</v>
      </c>
      <c r="AM97" s="119">
        <f t="shared" si="256"/>
        <v>337.49999999999994</v>
      </c>
      <c r="AN97" s="119">
        <f t="shared" si="256"/>
        <v>337.49999999999994</v>
      </c>
      <c r="AO97" s="119">
        <f t="shared" si="256"/>
        <v>337.49999999999994</v>
      </c>
      <c r="AP97" s="119">
        <f t="shared" si="256"/>
        <v>337.49999999999994</v>
      </c>
      <c r="AQ97" s="119">
        <f t="shared" si="256"/>
        <v>337.49999999999994</v>
      </c>
      <c r="AR97" s="119">
        <f t="shared" si="256"/>
        <v>337.49999999999994</v>
      </c>
      <c r="AS97" s="119">
        <f t="shared" si="256"/>
        <v>337.49999999999994</v>
      </c>
      <c r="AT97" s="119">
        <f t="shared" si="256"/>
        <v>337.49999999999994</v>
      </c>
      <c r="AU97" s="119">
        <f t="shared" si="256"/>
        <v>337.49999999999994</v>
      </c>
      <c r="AV97" s="119">
        <f t="shared" si="256"/>
        <v>337.49999999999994</v>
      </c>
      <c r="AW97" s="119">
        <f t="shared" si="256"/>
        <v>337.49999999999994</v>
      </c>
      <c r="AX97" s="119">
        <f t="shared" si="256"/>
        <v>337.49999999999994</v>
      </c>
      <c r="AY97" s="119">
        <f t="shared" si="256"/>
        <v>337.49999999999994</v>
      </c>
      <c r="AZ97" s="119">
        <f t="shared" si="256"/>
        <v>337.49999999999994</v>
      </c>
      <c r="BA97" s="119">
        <f>BA64*$G$4*$B$97</f>
        <v>337.49999999999994</v>
      </c>
      <c r="BB97" s="119">
        <f t="shared" ref="BB97:BJ97" si="257">BB64*$G$4*$B$97</f>
        <v>337.49999999999994</v>
      </c>
      <c r="BC97" s="119">
        <f t="shared" si="257"/>
        <v>337.49999999999994</v>
      </c>
      <c r="BD97" s="119">
        <f t="shared" si="257"/>
        <v>337.49999999999994</v>
      </c>
      <c r="BE97" s="119">
        <f t="shared" si="257"/>
        <v>337.49999999999994</v>
      </c>
      <c r="BF97" s="119">
        <f t="shared" si="257"/>
        <v>337.49999999999994</v>
      </c>
      <c r="BG97" s="119">
        <f t="shared" si="257"/>
        <v>337.49999999999994</v>
      </c>
      <c r="BH97" s="119">
        <f t="shared" si="257"/>
        <v>337.49999999999994</v>
      </c>
      <c r="BI97" s="119">
        <f t="shared" si="257"/>
        <v>337.49999999999994</v>
      </c>
      <c r="BJ97" s="119">
        <f t="shared" si="257"/>
        <v>337.49999999999994</v>
      </c>
    </row>
    <row r="98" spans="1:62" outlineLevel="1" x14ac:dyDescent="0.25">
      <c r="A98" s="118" t="s">
        <v>213</v>
      </c>
      <c r="B98" s="119">
        <f>$B$24</f>
        <v>800</v>
      </c>
      <c r="C98" s="119">
        <f t="shared" ref="C98:N98" si="258">C64*$G$5*$B$98</f>
        <v>0</v>
      </c>
      <c r="D98" s="119">
        <f t="shared" si="258"/>
        <v>0</v>
      </c>
      <c r="E98" s="119">
        <f t="shared" si="258"/>
        <v>0</v>
      </c>
      <c r="F98" s="119">
        <f t="shared" si="258"/>
        <v>0</v>
      </c>
      <c r="G98" s="119">
        <f t="shared" si="258"/>
        <v>0</v>
      </c>
      <c r="H98" s="119">
        <f t="shared" si="258"/>
        <v>0</v>
      </c>
      <c r="I98" s="119">
        <f t="shared" si="258"/>
        <v>0</v>
      </c>
      <c r="J98" s="119">
        <f t="shared" si="258"/>
        <v>0</v>
      </c>
      <c r="K98" s="119">
        <f t="shared" si="258"/>
        <v>0</v>
      </c>
      <c r="L98" s="119">
        <f t="shared" si="258"/>
        <v>419.99999999999994</v>
      </c>
      <c r="M98" s="119">
        <f t="shared" si="258"/>
        <v>419.99999999999994</v>
      </c>
      <c r="N98" s="119">
        <f t="shared" si="258"/>
        <v>419.99999999999994</v>
      </c>
      <c r="O98" s="119">
        <f t="shared" ref="O98:AZ98" si="259">O64*$G$5*$B$98</f>
        <v>419.99999999999994</v>
      </c>
      <c r="P98" s="119">
        <f t="shared" si="259"/>
        <v>419.99999999999994</v>
      </c>
      <c r="Q98" s="119">
        <f t="shared" si="259"/>
        <v>419.99999999999994</v>
      </c>
      <c r="R98" s="119">
        <f t="shared" si="259"/>
        <v>419.99999999999994</v>
      </c>
      <c r="S98" s="119">
        <f t="shared" si="259"/>
        <v>419.99999999999994</v>
      </c>
      <c r="T98" s="119">
        <f t="shared" si="259"/>
        <v>419.99999999999994</v>
      </c>
      <c r="U98" s="119">
        <f t="shared" si="259"/>
        <v>419.99999999999994</v>
      </c>
      <c r="V98" s="119">
        <f t="shared" si="259"/>
        <v>419.99999999999994</v>
      </c>
      <c r="W98" s="119">
        <f t="shared" si="259"/>
        <v>419.99999999999994</v>
      </c>
      <c r="X98" s="119">
        <f t="shared" si="259"/>
        <v>419.99999999999994</v>
      </c>
      <c r="Y98" s="119">
        <f t="shared" si="259"/>
        <v>419.99999999999994</v>
      </c>
      <c r="Z98" s="119">
        <f t="shared" si="259"/>
        <v>419.99999999999994</v>
      </c>
      <c r="AA98" s="119">
        <f t="shared" si="259"/>
        <v>419.99999999999994</v>
      </c>
      <c r="AB98" s="119">
        <f t="shared" si="259"/>
        <v>419.99999999999994</v>
      </c>
      <c r="AC98" s="119">
        <f t="shared" si="259"/>
        <v>419.99999999999994</v>
      </c>
      <c r="AD98" s="119">
        <f t="shared" si="259"/>
        <v>419.99999999999994</v>
      </c>
      <c r="AE98" s="119">
        <f t="shared" si="259"/>
        <v>419.99999999999994</v>
      </c>
      <c r="AF98" s="119">
        <f t="shared" si="259"/>
        <v>419.99999999999994</v>
      </c>
      <c r="AG98" s="119">
        <f t="shared" si="259"/>
        <v>419.99999999999994</v>
      </c>
      <c r="AH98" s="119">
        <f t="shared" si="259"/>
        <v>419.99999999999994</v>
      </c>
      <c r="AI98" s="119">
        <f t="shared" si="259"/>
        <v>419.99999999999994</v>
      </c>
      <c r="AJ98" s="119">
        <f t="shared" si="259"/>
        <v>419.99999999999994</v>
      </c>
      <c r="AK98" s="119">
        <f t="shared" si="259"/>
        <v>419.99999999999994</v>
      </c>
      <c r="AL98" s="119">
        <f t="shared" si="259"/>
        <v>419.99999999999994</v>
      </c>
      <c r="AM98" s="119">
        <f t="shared" si="259"/>
        <v>419.99999999999994</v>
      </c>
      <c r="AN98" s="119">
        <f t="shared" si="259"/>
        <v>419.99999999999994</v>
      </c>
      <c r="AO98" s="119">
        <f t="shared" si="259"/>
        <v>419.99999999999994</v>
      </c>
      <c r="AP98" s="119">
        <f t="shared" si="259"/>
        <v>419.99999999999994</v>
      </c>
      <c r="AQ98" s="119">
        <f t="shared" si="259"/>
        <v>419.99999999999994</v>
      </c>
      <c r="AR98" s="119">
        <f t="shared" si="259"/>
        <v>419.99999999999994</v>
      </c>
      <c r="AS98" s="119">
        <f t="shared" si="259"/>
        <v>419.99999999999994</v>
      </c>
      <c r="AT98" s="119">
        <f t="shared" si="259"/>
        <v>419.99999999999994</v>
      </c>
      <c r="AU98" s="119">
        <f t="shared" si="259"/>
        <v>419.99999999999994</v>
      </c>
      <c r="AV98" s="119">
        <f t="shared" si="259"/>
        <v>419.99999999999994</v>
      </c>
      <c r="AW98" s="119">
        <f t="shared" si="259"/>
        <v>419.99999999999994</v>
      </c>
      <c r="AX98" s="119">
        <f t="shared" si="259"/>
        <v>419.99999999999994</v>
      </c>
      <c r="AY98" s="119">
        <f t="shared" si="259"/>
        <v>419.99999999999994</v>
      </c>
      <c r="AZ98" s="119">
        <f t="shared" si="259"/>
        <v>419.99999999999994</v>
      </c>
      <c r="BA98" s="119">
        <f>BA64*$G$5*$B$98</f>
        <v>419.99999999999994</v>
      </c>
      <c r="BB98" s="119">
        <f t="shared" ref="BB98:BJ98" si="260">BB64*$G$5*$B$98</f>
        <v>419.99999999999994</v>
      </c>
      <c r="BC98" s="119">
        <f t="shared" si="260"/>
        <v>419.99999999999994</v>
      </c>
      <c r="BD98" s="119">
        <f t="shared" si="260"/>
        <v>419.99999999999994</v>
      </c>
      <c r="BE98" s="119">
        <f t="shared" si="260"/>
        <v>419.99999999999994</v>
      </c>
      <c r="BF98" s="119">
        <f t="shared" si="260"/>
        <v>419.99999999999994</v>
      </c>
      <c r="BG98" s="119">
        <f t="shared" si="260"/>
        <v>419.99999999999994</v>
      </c>
      <c r="BH98" s="119">
        <f t="shared" si="260"/>
        <v>419.99999999999994</v>
      </c>
      <c r="BI98" s="119">
        <f t="shared" si="260"/>
        <v>419.99999999999994</v>
      </c>
      <c r="BJ98" s="119">
        <f t="shared" si="260"/>
        <v>419.99999999999994</v>
      </c>
    </row>
    <row r="99" spans="1:62" outlineLevel="1" x14ac:dyDescent="0.25">
      <c r="A99" s="93" t="s">
        <v>231</v>
      </c>
      <c r="B99" s="122"/>
      <c r="C99" s="123">
        <f>SUM(C100:C101)</f>
        <v>0</v>
      </c>
      <c r="D99" s="123">
        <f t="shared" ref="D99" si="261">SUM(D100:D101)</f>
        <v>0</v>
      </c>
      <c r="E99" s="123">
        <f t="shared" ref="E99" si="262">SUM(E100:E101)</f>
        <v>0</v>
      </c>
      <c r="F99" s="123">
        <f t="shared" ref="F99" si="263">SUM(F100:F101)</f>
        <v>0</v>
      </c>
      <c r="G99" s="123">
        <f t="shared" ref="G99" si="264">SUM(G100:G101)</f>
        <v>0</v>
      </c>
      <c r="H99" s="123">
        <f t="shared" ref="H99" si="265">SUM(H100:H101)</f>
        <v>0</v>
      </c>
      <c r="I99" s="123">
        <f t="shared" ref="I99" si="266">SUM(I100:I101)</f>
        <v>0</v>
      </c>
      <c r="J99" s="123">
        <f t="shared" ref="J99" si="267">SUM(J100:J101)</f>
        <v>0</v>
      </c>
      <c r="K99" s="123">
        <f t="shared" ref="K99" si="268">SUM(K100:K101)</f>
        <v>0</v>
      </c>
      <c r="L99" s="123">
        <f t="shared" ref="L99" si="269">SUM(L100:L101)</f>
        <v>757.49999999999989</v>
      </c>
      <c r="M99" s="123">
        <f t="shared" ref="M99" si="270">SUM(M100:M101)</f>
        <v>757.49999999999989</v>
      </c>
      <c r="N99" s="123">
        <f t="shared" ref="N99:AZ99" si="271">SUM(N100:N101)</f>
        <v>757.49999999999989</v>
      </c>
      <c r="O99" s="123">
        <f t="shared" si="271"/>
        <v>757.49999999999989</v>
      </c>
      <c r="P99" s="123">
        <f t="shared" si="271"/>
        <v>757.49999999999989</v>
      </c>
      <c r="Q99" s="123">
        <f t="shared" si="271"/>
        <v>757.49999999999989</v>
      </c>
      <c r="R99" s="123">
        <f t="shared" si="271"/>
        <v>757.49999999999989</v>
      </c>
      <c r="S99" s="123">
        <f t="shared" si="271"/>
        <v>757.49999999999989</v>
      </c>
      <c r="T99" s="123">
        <f t="shared" si="271"/>
        <v>757.49999999999989</v>
      </c>
      <c r="U99" s="123">
        <f t="shared" si="271"/>
        <v>757.49999999999989</v>
      </c>
      <c r="V99" s="123">
        <f t="shared" si="271"/>
        <v>757.49999999999989</v>
      </c>
      <c r="W99" s="123">
        <f t="shared" si="271"/>
        <v>757.49999999999989</v>
      </c>
      <c r="X99" s="123">
        <f t="shared" si="271"/>
        <v>757.49999999999989</v>
      </c>
      <c r="Y99" s="123">
        <f t="shared" si="271"/>
        <v>757.49999999999989</v>
      </c>
      <c r="Z99" s="123">
        <f t="shared" si="271"/>
        <v>757.49999999999989</v>
      </c>
      <c r="AA99" s="123">
        <f t="shared" si="271"/>
        <v>757.49999999999989</v>
      </c>
      <c r="AB99" s="123">
        <f t="shared" si="271"/>
        <v>757.49999999999989</v>
      </c>
      <c r="AC99" s="123">
        <f t="shared" si="271"/>
        <v>757.49999999999989</v>
      </c>
      <c r="AD99" s="123">
        <f t="shared" si="271"/>
        <v>757.49999999999989</v>
      </c>
      <c r="AE99" s="123">
        <f t="shared" si="271"/>
        <v>757.49999999999989</v>
      </c>
      <c r="AF99" s="123">
        <f t="shared" si="271"/>
        <v>757.49999999999989</v>
      </c>
      <c r="AG99" s="123">
        <f t="shared" si="271"/>
        <v>757.49999999999989</v>
      </c>
      <c r="AH99" s="123">
        <f t="shared" si="271"/>
        <v>757.49999999999989</v>
      </c>
      <c r="AI99" s="123">
        <f t="shared" si="271"/>
        <v>757.49999999999989</v>
      </c>
      <c r="AJ99" s="123">
        <f t="shared" si="271"/>
        <v>757.49999999999989</v>
      </c>
      <c r="AK99" s="123">
        <f t="shared" si="271"/>
        <v>757.49999999999989</v>
      </c>
      <c r="AL99" s="123">
        <f t="shared" si="271"/>
        <v>757.49999999999989</v>
      </c>
      <c r="AM99" s="123">
        <f t="shared" si="271"/>
        <v>757.49999999999989</v>
      </c>
      <c r="AN99" s="123">
        <f t="shared" si="271"/>
        <v>757.49999999999989</v>
      </c>
      <c r="AO99" s="123">
        <f t="shared" si="271"/>
        <v>757.49999999999989</v>
      </c>
      <c r="AP99" s="123">
        <f t="shared" si="271"/>
        <v>757.49999999999989</v>
      </c>
      <c r="AQ99" s="123">
        <f t="shared" si="271"/>
        <v>757.49999999999989</v>
      </c>
      <c r="AR99" s="123">
        <f t="shared" si="271"/>
        <v>757.49999999999989</v>
      </c>
      <c r="AS99" s="123">
        <f t="shared" si="271"/>
        <v>757.49999999999989</v>
      </c>
      <c r="AT99" s="123">
        <f t="shared" si="271"/>
        <v>757.49999999999989</v>
      </c>
      <c r="AU99" s="123">
        <f t="shared" si="271"/>
        <v>757.49999999999989</v>
      </c>
      <c r="AV99" s="123">
        <f t="shared" si="271"/>
        <v>757.49999999999989</v>
      </c>
      <c r="AW99" s="123">
        <f t="shared" si="271"/>
        <v>757.49999999999989</v>
      </c>
      <c r="AX99" s="123">
        <f t="shared" si="271"/>
        <v>757.49999999999989</v>
      </c>
      <c r="AY99" s="123">
        <f t="shared" si="271"/>
        <v>757.49999999999989</v>
      </c>
      <c r="AZ99" s="123">
        <f t="shared" si="271"/>
        <v>757.49999999999989</v>
      </c>
      <c r="BA99" s="123">
        <f t="shared" ref="BA99:BJ99" si="272">SUM(BA100:BA101)</f>
        <v>757.49999999999989</v>
      </c>
      <c r="BB99" s="123">
        <f t="shared" si="272"/>
        <v>757.49999999999989</v>
      </c>
      <c r="BC99" s="123">
        <f t="shared" si="272"/>
        <v>757.49999999999989</v>
      </c>
      <c r="BD99" s="123">
        <f t="shared" si="272"/>
        <v>757.49999999999989</v>
      </c>
      <c r="BE99" s="123">
        <f t="shared" si="272"/>
        <v>757.49999999999989</v>
      </c>
      <c r="BF99" s="123">
        <f t="shared" si="272"/>
        <v>757.49999999999989</v>
      </c>
      <c r="BG99" s="123">
        <f t="shared" si="272"/>
        <v>757.49999999999989</v>
      </c>
      <c r="BH99" s="123">
        <f t="shared" si="272"/>
        <v>757.49999999999989</v>
      </c>
      <c r="BI99" s="123">
        <f t="shared" si="272"/>
        <v>757.49999999999989</v>
      </c>
      <c r="BJ99" s="123">
        <f t="shared" si="272"/>
        <v>757.49999999999989</v>
      </c>
    </row>
    <row r="100" spans="1:62" outlineLevel="1" x14ac:dyDescent="0.25">
      <c r="A100" s="118" t="s">
        <v>214</v>
      </c>
      <c r="B100" s="119">
        <f>$B$23</f>
        <v>1500</v>
      </c>
      <c r="C100" s="119">
        <f t="shared" ref="C100:N100" si="273">C65*$G$4*$B$100</f>
        <v>0</v>
      </c>
      <c r="D100" s="119">
        <f t="shared" si="273"/>
        <v>0</v>
      </c>
      <c r="E100" s="119">
        <f t="shared" si="273"/>
        <v>0</v>
      </c>
      <c r="F100" s="119">
        <f t="shared" si="273"/>
        <v>0</v>
      </c>
      <c r="G100" s="119">
        <f t="shared" si="273"/>
        <v>0</v>
      </c>
      <c r="H100" s="119">
        <f t="shared" si="273"/>
        <v>0</v>
      </c>
      <c r="I100" s="119">
        <f t="shared" si="273"/>
        <v>0</v>
      </c>
      <c r="J100" s="119">
        <f t="shared" si="273"/>
        <v>0</v>
      </c>
      <c r="K100" s="119">
        <f t="shared" si="273"/>
        <v>0</v>
      </c>
      <c r="L100" s="119">
        <f t="shared" si="273"/>
        <v>337.49999999999994</v>
      </c>
      <c r="M100" s="119">
        <f t="shared" si="273"/>
        <v>337.49999999999994</v>
      </c>
      <c r="N100" s="119">
        <f t="shared" si="273"/>
        <v>337.49999999999994</v>
      </c>
      <c r="O100" s="119">
        <f t="shared" ref="O100:AZ100" si="274">O65*$G$4*$B$100</f>
        <v>337.49999999999994</v>
      </c>
      <c r="P100" s="119">
        <f t="shared" si="274"/>
        <v>337.49999999999994</v>
      </c>
      <c r="Q100" s="119">
        <f t="shared" si="274"/>
        <v>337.49999999999994</v>
      </c>
      <c r="R100" s="119">
        <f t="shared" si="274"/>
        <v>337.49999999999994</v>
      </c>
      <c r="S100" s="119">
        <f t="shared" si="274"/>
        <v>337.49999999999994</v>
      </c>
      <c r="T100" s="119">
        <f t="shared" si="274"/>
        <v>337.49999999999994</v>
      </c>
      <c r="U100" s="119">
        <f t="shared" si="274"/>
        <v>337.49999999999994</v>
      </c>
      <c r="V100" s="119">
        <f t="shared" si="274"/>
        <v>337.49999999999994</v>
      </c>
      <c r="W100" s="119">
        <f t="shared" si="274"/>
        <v>337.49999999999994</v>
      </c>
      <c r="X100" s="119">
        <f t="shared" si="274"/>
        <v>337.49999999999994</v>
      </c>
      <c r="Y100" s="119">
        <f t="shared" si="274"/>
        <v>337.49999999999994</v>
      </c>
      <c r="Z100" s="119">
        <f t="shared" si="274"/>
        <v>337.49999999999994</v>
      </c>
      <c r="AA100" s="119">
        <f t="shared" si="274"/>
        <v>337.49999999999994</v>
      </c>
      <c r="AB100" s="119">
        <f t="shared" si="274"/>
        <v>337.49999999999994</v>
      </c>
      <c r="AC100" s="119">
        <f t="shared" si="274"/>
        <v>337.49999999999994</v>
      </c>
      <c r="AD100" s="119">
        <f t="shared" si="274"/>
        <v>337.49999999999994</v>
      </c>
      <c r="AE100" s="119">
        <f t="shared" si="274"/>
        <v>337.49999999999994</v>
      </c>
      <c r="AF100" s="119">
        <f t="shared" si="274"/>
        <v>337.49999999999994</v>
      </c>
      <c r="AG100" s="119">
        <f t="shared" si="274"/>
        <v>337.49999999999994</v>
      </c>
      <c r="AH100" s="119">
        <f t="shared" si="274"/>
        <v>337.49999999999994</v>
      </c>
      <c r="AI100" s="119">
        <f t="shared" si="274"/>
        <v>337.49999999999994</v>
      </c>
      <c r="AJ100" s="119">
        <f t="shared" si="274"/>
        <v>337.49999999999994</v>
      </c>
      <c r="AK100" s="119">
        <f t="shared" si="274"/>
        <v>337.49999999999994</v>
      </c>
      <c r="AL100" s="119">
        <f t="shared" si="274"/>
        <v>337.49999999999994</v>
      </c>
      <c r="AM100" s="119">
        <f t="shared" si="274"/>
        <v>337.49999999999994</v>
      </c>
      <c r="AN100" s="119">
        <f t="shared" si="274"/>
        <v>337.49999999999994</v>
      </c>
      <c r="AO100" s="119">
        <f t="shared" si="274"/>
        <v>337.49999999999994</v>
      </c>
      <c r="AP100" s="119">
        <f t="shared" si="274"/>
        <v>337.49999999999994</v>
      </c>
      <c r="AQ100" s="119">
        <f t="shared" si="274"/>
        <v>337.49999999999994</v>
      </c>
      <c r="AR100" s="119">
        <f t="shared" si="274"/>
        <v>337.49999999999994</v>
      </c>
      <c r="AS100" s="119">
        <f t="shared" si="274"/>
        <v>337.49999999999994</v>
      </c>
      <c r="AT100" s="119">
        <f t="shared" si="274"/>
        <v>337.49999999999994</v>
      </c>
      <c r="AU100" s="119">
        <f t="shared" si="274"/>
        <v>337.49999999999994</v>
      </c>
      <c r="AV100" s="119">
        <f t="shared" si="274"/>
        <v>337.49999999999994</v>
      </c>
      <c r="AW100" s="119">
        <f t="shared" si="274"/>
        <v>337.49999999999994</v>
      </c>
      <c r="AX100" s="119">
        <f t="shared" si="274"/>
        <v>337.49999999999994</v>
      </c>
      <c r="AY100" s="119">
        <f t="shared" si="274"/>
        <v>337.49999999999994</v>
      </c>
      <c r="AZ100" s="119">
        <f t="shared" si="274"/>
        <v>337.49999999999994</v>
      </c>
      <c r="BA100" s="119">
        <f>BA65*$G$4*$B$100</f>
        <v>337.49999999999994</v>
      </c>
      <c r="BB100" s="119">
        <f t="shared" ref="BB100:BJ100" si="275">BB65*$G$4*$B$100</f>
        <v>337.49999999999994</v>
      </c>
      <c r="BC100" s="119">
        <f t="shared" si="275"/>
        <v>337.49999999999994</v>
      </c>
      <c r="BD100" s="119">
        <f t="shared" si="275"/>
        <v>337.49999999999994</v>
      </c>
      <c r="BE100" s="119">
        <f t="shared" si="275"/>
        <v>337.49999999999994</v>
      </c>
      <c r="BF100" s="119">
        <f t="shared" si="275"/>
        <v>337.49999999999994</v>
      </c>
      <c r="BG100" s="119">
        <f t="shared" si="275"/>
        <v>337.49999999999994</v>
      </c>
      <c r="BH100" s="119">
        <f t="shared" si="275"/>
        <v>337.49999999999994</v>
      </c>
      <c r="BI100" s="119">
        <f t="shared" si="275"/>
        <v>337.49999999999994</v>
      </c>
      <c r="BJ100" s="119">
        <f t="shared" si="275"/>
        <v>337.49999999999994</v>
      </c>
    </row>
    <row r="101" spans="1:62" outlineLevel="1" x14ac:dyDescent="0.25">
      <c r="A101" s="118" t="s">
        <v>213</v>
      </c>
      <c r="B101" s="119">
        <f>$B$24</f>
        <v>800</v>
      </c>
      <c r="C101" s="119">
        <f t="shared" ref="C101:N101" si="276">C65*$G$5*$B$101</f>
        <v>0</v>
      </c>
      <c r="D101" s="119">
        <f t="shared" si="276"/>
        <v>0</v>
      </c>
      <c r="E101" s="119">
        <f t="shared" si="276"/>
        <v>0</v>
      </c>
      <c r="F101" s="119">
        <f t="shared" si="276"/>
        <v>0</v>
      </c>
      <c r="G101" s="119">
        <f t="shared" si="276"/>
        <v>0</v>
      </c>
      <c r="H101" s="119">
        <f t="shared" si="276"/>
        <v>0</v>
      </c>
      <c r="I101" s="119">
        <f t="shared" si="276"/>
        <v>0</v>
      </c>
      <c r="J101" s="119">
        <f t="shared" si="276"/>
        <v>0</v>
      </c>
      <c r="K101" s="119">
        <f t="shared" si="276"/>
        <v>0</v>
      </c>
      <c r="L101" s="119">
        <f t="shared" si="276"/>
        <v>419.99999999999994</v>
      </c>
      <c r="M101" s="119">
        <f t="shared" si="276"/>
        <v>419.99999999999994</v>
      </c>
      <c r="N101" s="119">
        <f t="shared" si="276"/>
        <v>419.99999999999994</v>
      </c>
      <c r="O101" s="119">
        <f t="shared" ref="O101:AZ101" si="277">O65*$G$5*$B$101</f>
        <v>419.99999999999994</v>
      </c>
      <c r="P101" s="119">
        <f t="shared" si="277"/>
        <v>419.99999999999994</v>
      </c>
      <c r="Q101" s="119">
        <f t="shared" si="277"/>
        <v>419.99999999999994</v>
      </c>
      <c r="R101" s="119">
        <f t="shared" si="277"/>
        <v>419.99999999999994</v>
      </c>
      <c r="S101" s="119">
        <f t="shared" si="277"/>
        <v>419.99999999999994</v>
      </c>
      <c r="T101" s="119">
        <f t="shared" si="277"/>
        <v>419.99999999999994</v>
      </c>
      <c r="U101" s="119">
        <f t="shared" si="277"/>
        <v>419.99999999999994</v>
      </c>
      <c r="V101" s="119">
        <f t="shared" si="277"/>
        <v>419.99999999999994</v>
      </c>
      <c r="W101" s="119">
        <f t="shared" si="277"/>
        <v>419.99999999999994</v>
      </c>
      <c r="X101" s="119">
        <f t="shared" si="277"/>
        <v>419.99999999999994</v>
      </c>
      <c r="Y101" s="119">
        <f t="shared" si="277"/>
        <v>419.99999999999994</v>
      </c>
      <c r="Z101" s="119">
        <f t="shared" si="277"/>
        <v>419.99999999999994</v>
      </c>
      <c r="AA101" s="119">
        <f t="shared" si="277"/>
        <v>419.99999999999994</v>
      </c>
      <c r="AB101" s="119">
        <f t="shared" si="277"/>
        <v>419.99999999999994</v>
      </c>
      <c r="AC101" s="119">
        <f t="shared" si="277"/>
        <v>419.99999999999994</v>
      </c>
      <c r="AD101" s="119">
        <f t="shared" si="277"/>
        <v>419.99999999999994</v>
      </c>
      <c r="AE101" s="119">
        <f t="shared" si="277"/>
        <v>419.99999999999994</v>
      </c>
      <c r="AF101" s="119">
        <f t="shared" si="277"/>
        <v>419.99999999999994</v>
      </c>
      <c r="AG101" s="119">
        <f t="shared" si="277"/>
        <v>419.99999999999994</v>
      </c>
      <c r="AH101" s="119">
        <f t="shared" si="277"/>
        <v>419.99999999999994</v>
      </c>
      <c r="AI101" s="119">
        <f t="shared" si="277"/>
        <v>419.99999999999994</v>
      </c>
      <c r="AJ101" s="119">
        <f t="shared" si="277"/>
        <v>419.99999999999994</v>
      </c>
      <c r="AK101" s="119">
        <f t="shared" si="277"/>
        <v>419.99999999999994</v>
      </c>
      <c r="AL101" s="119">
        <f t="shared" si="277"/>
        <v>419.99999999999994</v>
      </c>
      <c r="AM101" s="119">
        <f t="shared" si="277"/>
        <v>419.99999999999994</v>
      </c>
      <c r="AN101" s="119">
        <f t="shared" si="277"/>
        <v>419.99999999999994</v>
      </c>
      <c r="AO101" s="119">
        <f t="shared" si="277"/>
        <v>419.99999999999994</v>
      </c>
      <c r="AP101" s="119">
        <f t="shared" si="277"/>
        <v>419.99999999999994</v>
      </c>
      <c r="AQ101" s="119">
        <f t="shared" si="277"/>
        <v>419.99999999999994</v>
      </c>
      <c r="AR101" s="119">
        <f t="shared" si="277"/>
        <v>419.99999999999994</v>
      </c>
      <c r="AS101" s="119">
        <f t="shared" si="277"/>
        <v>419.99999999999994</v>
      </c>
      <c r="AT101" s="119">
        <f t="shared" si="277"/>
        <v>419.99999999999994</v>
      </c>
      <c r="AU101" s="119">
        <f t="shared" si="277"/>
        <v>419.99999999999994</v>
      </c>
      <c r="AV101" s="119">
        <f t="shared" si="277"/>
        <v>419.99999999999994</v>
      </c>
      <c r="AW101" s="119">
        <f t="shared" si="277"/>
        <v>419.99999999999994</v>
      </c>
      <c r="AX101" s="119">
        <f t="shared" si="277"/>
        <v>419.99999999999994</v>
      </c>
      <c r="AY101" s="119">
        <f t="shared" si="277"/>
        <v>419.99999999999994</v>
      </c>
      <c r="AZ101" s="119">
        <f t="shared" si="277"/>
        <v>419.99999999999994</v>
      </c>
      <c r="BA101" s="119">
        <f>BA65*$G$5*$B$101</f>
        <v>419.99999999999994</v>
      </c>
      <c r="BB101" s="119">
        <f t="shared" ref="BB101:BJ101" si="278">BB65*$G$5*$B$101</f>
        <v>419.99999999999994</v>
      </c>
      <c r="BC101" s="119">
        <f t="shared" si="278"/>
        <v>419.99999999999994</v>
      </c>
      <c r="BD101" s="119">
        <f t="shared" si="278"/>
        <v>419.99999999999994</v>
      </c>
      <c r="BE101" s="119">
        <f t="shared" si="278"/>
        <v>419.99999999999994</v>
      </c>
      <c r="BF101" s="119">
        <f t="shared" si="278"/>
        <v>419.99999999999994</v>
      </c>
      <c r="BG101" s="119">
        <f t="shared" si="278"/>
        <v>419.99999999999994</v>
      </c>
      <c r="BH101" s="119">
        <f t="shared" si="278"/>
        <v>419.99999999999994</v>
      </c>
      <c r="BI101" s="119">
        <f t="shared" si="278"/>
        <v>419.99999999999994</v>
      </c>
      <c r="BJ101" s="119">
        <f t="shared" si="278"/>
        <v>419.99999999999994</v>
      </c>
    </row>
    <row r="102" spans="1:62" outlineLevel="1" x14ac:dyDescent="0.25">
      <c r="A102" s="93" t="s">
        <v>231</v>
      </c>
      <c r="B102" s="122"/>
      <c r="C102" s="123">
        <f>SUM(C103:C104)</f>
        <v>0</v>
      </c>
      <c r="D102" s="123">
        <f t="shared" ref="D102" si="279">SUM(D103:D104)</f>
        <v>0</v>
      </c>
      <c r="E102" s="123">
        <f t="shared" ref="E102" si="280">SUM(E103:E104)</f>
        <v>0</v>
      </c>
      <c r="F102" s="123">
        <f t="shared" ref="F102" si="281">SUM(F103:F104)</f>
        <v>0</v>
      </c>
      <c r="G102" s="123">
        <f t="shared" ref="G102" si="282">SUM(G103:G104)</f>
        <v>0</v>
      </c>
      <c r="H102" s="123">
        <f t="shared" ref="H102" si="283">SUM(H103:H104)</f>
        <v>0</v>
      </c>
      <c r="I102" s="123">
        <f t="shared" ref="I102" si="284">SUM(I103:I104)</f>
        <v>0</v>
      </c>
      <c r="J102" s="123">
        <f t="shared" ref="J102" si="285">SUM(J103:J104)</f>
        <v>0</v>
      </c>
      <c r="K102" s="123">
        <f t="shared" ref="K102" si="286">SUM(K103:K104)</f>
        <v>0</v>
      </c>
      <c r="L102" s="123">
        <f t="shared" ref="L102" si="287">SUM(L103:L104)</f>
        <v>0</v>
      </c>
      <c r="M102" s="123">
        <f t="shared" ref="M102" si="288">SUM(M103:M104)</f>
        <v>757.49999999999989</v>
      </c>
      <c r="N102" s="123">
        <f t="shared" ref="N102:AZ102" si="289">SUM(N103:N104)</f>
        <v>757.49999999999989</v>
      </c>
      <c r="O102" s="123">
        <f t="shared" si="289"/>
        <v>757.49999999999989</v>
      </c>
      <c r="P102" s="123">
        <f t="shared" si="289"/>
        <v>757.49999999999989</v>
      </c>
      <c r="Q102" s="123">
        <f t="shared" si="289"/>
        <v>757.49999999999989</v>
      </c>
      <c r="R102" s="123">
        <f t="shared" si="289"/>
        <v>757.49999999999989</v>
      </c>
      <c r="S102" s="123">
        <f t="shared" si="289"/>
        <v>757.49999999999989</v>
      </c>
      <c r="T102" s="123">
        <f t="shared" si="289"/>
        <v>757.49999999999989</v>
      </c>
      <c r="U102" s="123">
        <f t="shared" si="289"/>
        <v>757.49999999999989</v>
      </c>
      <c r="V102" s="123">
        <f t="shared" si="289"/>
        <v>757.49999999999989</v>
      </c>
      <c r="W102" s="123">
        <f t="shared" si="289"/>
        <v>757.49999999999989</v>
      </c>
      <c r="X102" s="123">
        <f t="shared" si="289"/>
        <v>757.49999999999989</v>
      </c>
      <c r="Y102" s="123">
        <f t="shared" si="289"/>
        <v>757.49999999999989</v>
      </c>
      <c r="Z102" s="123">
        <f t="shared" si="289"/>
        <v>757.49999999999989</v>
      </c>
      <c r="AA102" s="123">
        <f t="shared" si="289"/>
        <v>757.49999999999989</v>
      </c>
      <c r="AB102" s="123">
        <f t="shared" si="289"/>
        <v>757.49999999999989</v>
      </c>
      <c r="AC102" s="123">
        <f t="shared" si="289"/>
        <v>757.49999999999989</v>
      </c>
      <c r="AD102" s="123">
        <f t="shared" si="289"/>
        <v>757.49999999999989</v>
      </c>
      <c r="AE102" s="123">
        <f t="shared" si="289"/>
        <v>757.49999999999989</v>
      </c>
      <c r="AF102" s="123">
        <f t="shared" si="289"/>
        <v>757.49999999999989</v>
      </c>
      <c r="AG102" s="123">
        <f t="shared" si="289"/>
        <v>757.49999999999989</v>
      </c>
      <c r="AH102" s="123">
        <f t="shared" si="289"/>
        <v>757.49999999999989</v>
      </c>
      <c r="AI102" s="123">
        <f t="shared" si="289"/>
        <v>757.49999999999989</v>
      </c>
      <c r="AJ102" s="123">
        <f t="shared" si="289"/>
        <v>757.49999999999989</v>
      </c>
      <c r="AK102" s="123">
        <f t="shared" si="289"/>
        <v>757.49999999999989</v>
      </c>
      <c r="AL102" s="123">
        <f t="shared" si="289"/>
        <v>757.49999999999989</v>
      </c>
      <c r="AM102" s="123">
        <f t="shared" si="289"/>
        <v>757.49999999999989</v>
      </c>
      <c r="AN102" s="123">
        <f t="shared" si="289"/>
        <v>757.49999999999989</v>
      </c>
      <c r="AO102" s="123">
        <f t="shared" si="289"/>
        <v>757.49999999999989</v>
      </c>
      <c r="AP102" s="123">
        <f t="shared" si="289"/>
        <v>757.49999999999989</v>
      </c>
      <c r="AQ102" s="123">
        <f t="shared" si="289"/>
        <v>757.49999999999989</v>
      </c>
      <c r="AR102" s="123">
        <f t="shared" si="289"/>
        <v>757.49999999999989</v>
      </c>
      <c r="AS102" s="123">
        <f t="shared" si="289"/>
        <v>757.49999999999989</v>
      </c>
      <c r="AT102" s="123">
        <f t="shared" si="289"/>
        <v>757.49999999999989</v>
      </c>
      <c r="AU102" s="123">
        <f t="shared" si="289"/>
        <v>757.49999999999989</v>
      </c>
      <c r="AV102" s="123">
        <f t="shared" si="289"/>
        <v>757.49999999999989</v>
      </c>
      <c r="AW102" s="123">
        <f t="shared" si="289"/>
        <v>757.49999999999989</v>
      </c>
      <c r="AX102" s="123">
        <f t="shared" si="289"/>
        <v>757.49999999999989</v>
      </c>
      <c r="AY102" s="123">
        <f t="shared" si="289"/>
        <v>757.49999999999989</v>
      </c>
      <c r="AZ102" s="123">
        <f t="shared" si="289"/>
        <v>757.49999999999989</v>
      </c>
      <c r="BA102" s="123">
        <f t="shared" ref="BA102:BJ102" si="290">SUM(BA103:BA104)</f>
        <v>757.49999999999989</v>
      </c>
      <c r="BB102" s="123">
        <f t="shared" si="290"/>
        <v>757.49999999999989</v>
      </c>
      <c r="BC102" s="123">
        <f t="shared" si="290"/>
        <v>757.49999999999989</v>
      </c>
      <c r="BD102" s="123">
        <f t="shared" si="290"/>
        <v>757.49999999999989</v>
      </c>
      <c r="BE102" s="123">
        <f t="shared" si="290"/>
        <v>757.49999999999989</v>
      </c>
      <c r="BF102" s="123">
        <f t="shared" si="290"/>
        <v>757.49999999999989</v>
      </c>
      <c r="BG102" s="123">
        <f t="shared" si="290"/>
        <v>757.49999999999989</v>
      </c>
      <c r="BH102" s="123">
        <f t="shared" si="290"/>
        <v>757.49999999999989</v>
      </c>
      <c r="BI102" s="123">
        <f t="shared" si="290"/>
        <v>757.49999999999989</v>
      </c>
      <c r="BJ102" s="123">
        <f t="shared" si="290"/>
        <v>757.49999999999989</v>
      </c>
    </row>
    <row r="103" spans="1:62" outlineLevel="1" x14ac:dyDescent="0.25">
      <c r="A103" s="118" t="s">
        <v>214</v>
      </c>
      <c r="B103" s="119">
        <f>$B$23</f>
        <v>1500</v>
      </c>
      <c r="C103" s="119">
        <f t="shared" ref="C103:N103" si="291">C66*$G$4*$B$103</f>
        <v>0</v>
      </c>
      <c r="D103" s="119">
        <f t="shared" si="291"/>
        <v>0</v>
      </c>
      <c r="E103" s="119">
        <f t="shared" si="291"/>
        <v>0</v>
      </c>
      <c r="F103" s="119">
        <f t="shared" si="291"/>
        <v>0</v>
      </c>
      <c r="G103" s="119">
        <f t="shared" si="291"/>
        <v>0</v>
      </c>
      <c r="H103" s="119">
        <f t="shared" si="291"/>
        <v>0</v>
      </c>
      <c r="I103" s="119">
        <f t="shared" si="291"/>
        <v>0</v>
      </c>
      <c r="J103" s="119">
        <f t="shared" si="291"/>
        <v>0</v>
      </c>
      <c r="K103" s="119">
        <f t="shared" si="291"/>
        <v>0</v>
      </c>
      <c r="L103" s="119">
        <f t="shared" si="291"/>
        <v>0</v>
      </c>
      <c r="M103" s="119">
        <f t="shared" si="291"/>
        <v>337.49999999999994</v>
      </c>
      <c r="N103" s="119">
        <f t="shared" si="291"/>
        <v>337.49999999999994</v>
      </c>
      <c r="O103" s="119">
        <f t="shared" ref="O103:AZ103" si="292">O66*$G$4*$B$103</f>
        <v>337.49999999999994</v>
      </c>
      <c r="P103" s="119">
        <f t="shared" si="292"/>
        <v>337.49999999999994</v>
      </c>
      <c r="Q103" s="119">
        <f t="shared" si="292"/>
        <v>337.49999999999994</v>
      </c>
      <c r="R103" s="119">
        <f t="shared" si="292"/>
        <v>337.49999999999994</v>
      </c>
      <c r="S103" s="119">
        <f t="shared" si="292"/>
        <v>337.49999999999994</v>
      </c>
      <c r="T103" s="119">
        <f t="shared" si="292"/>
        <v>337.49999999999994</v>
      </c>
      <c r="U103" s="119">
        <f t="shared" si="292"/>
        <v>337.49999999999994</v>
      </c>
      <c r="V103" s="119">
        <f t="shared" si="292"/>
        <v>337.49999999999994</v>
      </c>
      <c r="W103" s="119">
        <f t="shared" si="292"/>
        <v>337.49999999999994</v>
      </c>
      <c r="X103" s="119">
        <f t="shared" si="292"/>
        <v>337.49999999999994</v>
      </c>
      <c r="Y103" s="119">
        <f t="shared" si="292"/>
        <v>337.49999999999994</v>
      </c>
      <c r="Z103" s="119">
        <f t="shared" si="292"/>
        <v>337.49999999999994</v>
      </c>
      <c r="AA103" s="119">
        <f t="shared" si="292"/>
        <v>337.49999999999994</v>
      </c>
      <c r="AB103" s="119">
        <f t="shared" si="292"/>
        <v>337.49999999999994</v>
      </c>
      <c r="AC103" s="119">
        <f t="shared" si="292"/>
        <v>337.49999999999994</v>
      </c>
      <c r="AD103" s="119">
        <f t="shared" si="292"/>
        <v>337.49999999999994</v>
      </c>
      <c r="AE103" s="119">
        <f t="shared" si="292"/>
        <v>337.49999999999994</v>
      </c>
      <c r="AF103" s="119">
        <f t="shared" si="292"/>
        <v>337.49999999999994</v>
      </c>
      <c r="AG103" s="119">
        <f t="shared" si="292"/>
        <v>337.49999999999994</v>
      </c>
      <c r="AH103" s="119">
        <f t="shared" si="292"/>
        <v>337.49999999999994</v>
      </c>
      <c r="AI103" s="119">
        <f t="shared" si="292"/>
        <v>337.49999999999994</v>
      </c>
      <c r="AJ103" s="119">
        <f t="shared" si="292"/>
        <v>337.49999999999994</v>
      </c>
      <c r="AK103" s="119">
        <f t="shared" si="292"/>
        <v>337.49999999999994</v>
      </c>
      <c r="AL103" s="119">
        <f t="shared" si="292"/>
        <v>337.49999999999994</v>
      </c>
      <c r="AM103" s="119">
        <f t="shared" si="292"/>
        <v>337.49999999999994</v>
      </c>
      <c r="AN103" s="119">
        <f t="shared" si="292"/>
        <v>337.49999999999994</v>
      </c>
      <c r="AO103" s="119">
        <f t="shared" si="292"/>
        <v>337.49999999999994</v>
      </c>
      <c r="AP103" s="119">
        <f t="shared" si="292"/>
        <v>337.49999999999994</v>
      </c>
      <c r="AQ103" s="119">
        <f t="shared" si="292"/>
        <v>337.49999999999994</v>
      </c>
      <c r="AR103" s="119">
        <f t="shared" si="292"/>
        <v>337.49999999999994</v>
      </c>
      <c r="AS103" s="119">
        <f t="shared" si="292"/>
        <v>337.49999999999994</v>
      </c>
      <c r="AT103" s="119">
        <f t="shared" si="292"/>
        <v>337.49999999999994</v>
      </c>
      <c r="AU103" s="119">
        <f t="shared" si="292"/>
        <v>337.49999999999994</v>
      </c>
      <c r="AV103" s="119">
        <f t="shared" si="292"/>
        <v>337.49999999999994</v>
      </c>
      <c r="AW103" s="119">
        <f t="shared" si="292"/>
        <v>337.49999999999994</v>
      </c>
      <c r="AX103" s="119">
        <f t="shared" si="292"/>
        <v>337.49999999999994</v>
      </c>
      <c r="AY103" s="119">
        <f t="shared" si="292"/>
        <v>337.49999999999994</v>
      </c>
      <c r="AZ103" s="119">
        <f t="shared" si="292"/>
        <v>337.49999999999994</v>
      </c>
      <c r="BA103" s="119">
        <f>BA66*$G$4*$B$103</f>
        <v>337.49999999999994</v>
      </c>
      <c r="BB103" s="119">
        <f t="shared" ref="BB103:BJ103" si="293">BB66*$G$4*$B$103</f>
        <v>337.49999999999994</v>
      </c>
      <c r="BC103" s="119">
        <f t="shared" si="293"/>
        <v>337.49999999999994</v>
      </c>
      <c r="BD103" s="119">
        <f t="shared" si="293"/>
        <v>337.49999999999994</v>
      </c>
      <c r="BE103" s="119">
        <f t="shared" si="293"/>
        <v>337.49999999999994</v>
      </c>
      <c r="BF103" s="119">
        <f t="shared" si="293"/>
        <v>337.49999999999994</v>
      </c>
      <c r="BG103" s="119">
        <f t="shared" si="293"/>
        <v>337.49999999999994</v>
      </c>
      <c r="BH103" s="119">
        <f t="shared" si="293"/>
        <v>337.49999999999994</v>
      </c>
      <c r="BI103" s="119">
        <f t="shared" si="293"/>
        <v>337.49999999999994</v>
      </c>
      <c r="BJ103" s="119">
        <f t="shared" si="293"/>
        <v>337.49999999999994</v>
      </c>
    </row>
    <row r="104" spans="1:62" outlineLevel="1" x14ac:dyDescent="0.25">
      <c r="A104" s="118" t="s">
        <v>213</v>
      </c>
      <c r="B104" s="119">
        <f>$B$24</f>
        <v>800</v>
      </c>
      <c r="C104" s="119">
        <f t="shared" ref="C104:N104" si="294">C66*$G$5*$B$104</f>
        <v>0</v>
      </c>
      <c r="D104" s="119">
        <f t="shared" si="294"/>
        <v>0</v>
      </c>
      <c r="E104" s="119">
        <f t="shared" si="294"/>
        <v>0</v>
      </c>
      <c r="F104" s="119">
        <f t="shared" si="294"/>
        <v>0</v>
      </c>
      <c r="G104" s="119">
        <f t="shared" si="294"/>
        <v>0</v>
      </c>
      <c r="H104" s="119">
        <f t="shared" si="294"/>
        <v>0</v>
      </c>
      <c r="I104" s="119">
        <f t="shared" si="294"/>
        <v>0</v>
      </c>
      <c r="J104" s="119">
        <f t="shared" si="294"/>
        <v>0</v>
      </c>
      <c r="K104" s="119">
        <f t="shared" si="294"/>
        <v>0</v>
      </c>
      <c r="L104" s="119">
        <f t="shared" si="294"/>
        <v>0</v>
      </c>
      <c r="M104" s="119">
        <f t="shared" si="294"/>
        <v>419.99999999999994</v>
      </c>
      <c r="N104" s="119">
        <f t="shared" si="294"/>
        <v>419.99999999999994</v>
      </c>
      <c r="O104" s="119">
        <f t="shared" ref="O104:AZ104" si="295">O66*$G$5*$B$104</f>
        <v>419.99999999999994</v>
      </c>
      <c r="P104" s="119">
        <f t="shared" si="295"/>
        <v>419.99999999999994</v>
      </c>
      <c r="Q104" s="119">
        <f t="shared" si="295"/>
        <v>419.99999999999994</v>
      </c>
      <c r="R104" s="119">
        <f t="shared" si="295"/>
        <v>419.99999999999994</v>
      </c>
      <c r="S104" s="119">
        <f t="shared" si="295"/>
        <v>419.99999999999994</v>
      </c>
      <c r="T104" s="119">
        <f t="shared" si="295"/>
        <v>419.99999999999994</v>
      </c>
      <c r="U104" s="119">
        <f t="shared" si="295"/>
        <v>419.99999999999994</v>
      </c>
      <c r="V104" s="119">
        <f t="shared" si="295"/>
        <v>419.99999999999994</v>
      </c>
      <c r="W104" s="119">
        <f t="shared" si="295"/>
        <v>419.99999999999994</v>
      </c>
      <c r="X104" s="119">
        <f t="shared" si="295"/>
        <v>419.99999999999994</v>
      </c>
      <c r="Y104" s="119">
        <f t="shared" si="295"/>
        <v>419.99999999999994</v>
      </c>
      <c r="Z104" s="119">
        <f t="shared" si="295"/>
        <v>419.99999999999994</v>
      </c>
      <c r="AA104" s="119">
        <f t="shared" si="295"/>
        <v>419.99999999999994</v>
      </c>
      <c r="AB104" s="119">
        <f t="shared" si="295"/>
        <v>419.99999999999994</v>
      </c>
      <c r="AC104" s="119">
        <f t="shared" si="295"/>
        <v>419.99999999999994</v>
      </c>
      <c r="AD104" s="119">
        <f t="shared" si="295"/>
        <v>419.99999999999994</v>
      </c>
      <c r="AE104" s="119">
        <f t="shared" si="295"/>
        <v>419.99999999999994</v>
      </c>
      <c r="AF104" s="119">
        <f t="shared" si="295"/>
        <v>419.99999999999994</v>
      </c>
      <c r="AG104" s="119">
        <f t="shared" si="295"/>
        <v>419.99999999999994</v>
      </c>
      <c r="AH104" s="119">
        <f t="shared" si="295"/>
        <v>419.99999999999994</v>
      </c>
      <c r="AI104" s="119">
        <f t="shared" si="295"/>
        <v>419.99999999999994</v>
      </c>
      <c r="AJ104" s="119">
        <f t="shared" si="295"/>
        <v>419.99999999999994</v>
      </c>
      <c r="AK104" s="119">
        <f t="shared" si="295"/>
        <v>419.99999999999994</v>
      </c>
      <c r="AL104" s="119">
        <f t="shared" si="295"/>
        <v>419.99999999999994</v>
      </c>
      <c r="AM104" s="119">
        <f t="shared" si="295"/>
        <v>419.99999999999994</v>
      </c>
      <c r="AN104" s="119">
        <f t="shared" si="295"/>
        <v>419.99999999999994</v>
      </c>
      <c r="AO104" s="119">
        <f t="shared" si="295"/>
        <v>419.99999999999994</v>
      </c>
      <c r="AP104" s="119">
        <f t="shared" si="295"/>
        <v>419.99999999999994</v>
      </c>
      <c r="AQ104" s="119">
        <f t="shared" si="295"/>
        <v>419.99999999999994</v>
      </c>
      <c r="AR104" s="119">
        <f t="shared" si="295"/>
        <v>419.99999999999994</v>
      </c>
      <c r="AS104" s="119">
        <f t="shared" si="295"/>
        <v>419.99999999999994</v>
      </c>
      <c r="AT104" s="119">
        <f t="shared" si="295"/>
        <v>419.99999999999994</v>
      </c>
      <c r="AU104" s="119">
        <f t="shared" si="295"/>
        <v>419.99999999999994</v>
      </c>
      <c r="AV104" s="119">
        <f t="shared" si="295"/>
        <v>419.99999999999994</v>
      </c>
      <c r="AW104" s="119">
        <f t="shared" si="295"/>
        <v>419.99999999999994</v>
      </c>
      <c r="AX104" s="119">
        <f t="shared" si="295"/>
        <v>419.99999999999994</v>
      </c>
      <c r="AY104" s="119">
        <f t="shared" si="295"/>
        <v>419.99999999999994</v>
      </c>
      <c r="AZ104" s="119">
        <f t="shared" si="295"/>
        <v>419.99999999999994</v>
      </c>
      <c r="BA104" s="119">
        <f>BA66*$G$5*$B$104</f>
        <v>419.99999999999994</v>
      </c>
      <c r="BB104" s="119">
        <f t="shared" ref="BB104:BJ104" si="296">BB66*$G$5*$B$104</f>
        <v>419.99999999999994</v>
      </c>
      <c r="BC104" s="119">
        <f t="shared" si="296"/>
        <v>419.99999999999994</v>
      </c>
      <c r="BD104" s="119">
        <f t="shared" si="296"/>
        <v>419.99999999999994</v>
      </c>
      <c r="BE104" s="119">
        <f t="shared" si="296"/>
        <v>419.99999999999994</v>
      </c>
      <c r="BF104" s="119">
        <f t="shared" si="296"/>
        <v>419.99999999999994</v>
      </c>
      <c r="BG104" s="119">
        <f t="shared" si="296"/>
        <v>419.99999999999994</v>
      </c>
      <c r="BH104" s="119">
        <f t="shared" si="296"/>
        <v>419.99999999999994</v>
      </c>
      <c r="BI104" s="119">
        <f t="shared" si="296"/>
        <v>419.99999999999994</v>
      </c>
      <c r="BJ104" s="119">
        <f t="shared" si="296"/>
        <v>419.99999999999994</v>
      </c>
    </row>
    <row r="105" spans="1:62" outlineLevel="1" x14ac:dyDescent="0.25">
      <c r="A105" s="93" t="s">
        <v>231</v>
      </c>
      <c r="B105" s="122"/>
      <c r="C105" s="123">
        <f>SUM(C106:C107)</f>
        <v>0</v>
      </c>
      <c r="D105" s="123">
        <f t="shared" ref="D105" si="297">SUM(D106:D107)</f>
        <v>0</v>
      </c>
      <c r="E105" s="123">
        <f t="shared" ref="E105" si="298">SUM(E106:E107)</f>
        <v>0</v>
      </c>
      <c r="F105" s="123">
        <f t="shared" ref="F105" si="299">SUM(F106:F107)</f>
        <v>0</v>
      </c>
      <c r="G105" s="123">
        <f t="shared" ref="G105" si="300">SUM(G106:G107)</f>
        <v>0</v>
      </c>
      <c r="H105" s="123">
        <f t="shared" ref="H105" si="301">SUM(H106:H107)</f>
        <v>0</v>
      </c>
      <c r="I105" s="123">
        <f t="shared" ref="I105" si="302">SUM(I106:I107)</f>
        <v>0</v>
      </c>
      <c r="J105" s="123">
        <f t="shared" ref="J105" si="303">SUM(J106:J107)</f>
        <v>0</v>
      </c>
      <c r="K105" s="123">
        <f t="shared" ref="K105" si="304">SUM(K106:K107)</f>
        <v>0</v>
      </c>
      <c r="L105" s="123">
        <f t="shared" ref="L105" si="305">SUM(L106:L107)</f>
        <v>0</v>
      </c>
      <c r="M105" s="123">
        <f t="shared" ref="M105" si="306">SUM(M106:M107)</f>
        <v>0</v>
      </c>
      <c r="N105" s="123">
        <f t="shared" ref="N105:AZ105" si="307">SUM(N106:N107)</f>
        <v>757.49999999999989</v>
      </c>
      <c r="O105" s="123">
        <f t="shared" si="307"/>
        <v>757.49999999999989</v>
      </c>
      <c r="P105" s="123">
        <f t="shared" si="307"/>
        <v>757.49999999999989</v>
      </c>
      <c r="Q105" s="123">
        <f t="shared" si="307"/>
        <v>757.49999999999989</v>
      </c>
      <c r="R105" s="123">
        <f t="shared" si="307"/>
        <v>757.49999999999989</v>
      </c>
      <c r="S105" s="123">
        <f t="shared" si="307"/>
        <v>757.49999999999989</v>
      </c>
      <c r="T105" s="123">
        <f t="shared" si="307"/>
        <v>757.49999999999989</v>
      </c>
      <c r="U105" s="123">
        <f t="shared" si="307"/>
        <v>757.49999999999989</v>
      </c>
      <c r="V105" s="123">
        <f t="shared" si="307"/>
        <v>757.49999999999989</v>
      </c>
      <c r="W105" s="123">
        <f t="shared" si="307"/>
        <v>757.49999999999989</v>
      </c>
      <c r="X105" s="123">
        <f t="shared" si="307"/>
        <v>757.49999999999989</v>
      </c>
      <c r="Y105" s="123">
        <f t="shared" si="307"/>
        <v>757.49999999999989</v>
      </c>
      <c r="Z105" s="123">
        <f t="shared" si="307"/>
        <v>757.49999999999989</v>
      </c>
      <c r="AA105" s="123">
        <f t="shared" si="307"/>
        <v>757.49999999999989</v>
      </c>
      <c r="AB105" s="123">
        <f t="shared" si="307"/>
        <v>757.49999999999989</v>
      </c>
      <c r="AC105" s="123">
        <f t="shared" si="307"/>
        <v>757.49999999999989</v>
      </c>
      <c r="AD105" s="123">
        <f t="shared" si="307"/>
        <v>757.49999999999989</v>
      </c>
      <c r="AE105" s="123">
        <f t="shared" si="307"/>
        <v>757.49999999999989</v>
      </c>
      <c r="AF105" s="123">
        <f t="shared" si="307"/>
        <v>757.49999999999989</v>
      </c>
      <c r="AG105" s="123">
        <f t="shared" si="307"/>
        <v>757.49999999999989</v>
      </c>
      <c r="AH105" s="123">
        <f t="shared" si="307"/>
        <v>757.49999999999989</v>
      </c>
      <c r="AI105" s="123">
        <f t="shared" si="307"/>
        <v>757.49999999999989</v>
      </c>
      <c r="AJ105" s="123">
        <f t="shared" si="307"/>
        <v>757.49999999999989</v>
      </c>
      <c r="AK105" s="123">
        <f t="shared" si="307"/>
        <v>757.49999999999989</v>
      </c>
      <c r="AL105" s="123">
        <f t="shared" si="307"/>
        <v>757.49999999999989</v>
      </c>
      <c r="AM105" s="123">
        <f t="shared" si="307"/>
        <v>757.49999999999989</v>
      </c>
      <c r="AN105" s="123">
        <f t="shared" si="307"/>
        <v>757.49999999999989</v>
      </c>
      <c r="AO105" s="123">
        <f t="shared" si="307"/>
        <v>757.49999999999989</v>
      </c>
      <c r="AP105" s="123">
        <f t="shared" si="307"/>
        <v>757.49999999999989</v>
      </c>
      <c r="AQ105" s="123">
        <f t="shared" si="307"/>
        <v>757.49999999999989</v>
      </c>
      <c r="AR105" s="123">
        <f t="shared" si="307"/>
        <v>757.49999999999989</v>
      </c>
      <c r="AS105" s="123">
        <f t="shared" si="307"/>
        <v>757.49999999999989</v>
      </c>
      <c r="AT105" s="123">
        <f t="shared" si="307"/>
        <v>757.49999999999989</v>
      </c>
      <c r="AU105" s="123">
        <f t="shared" si="307"/>
        <v>757.49999999999989</v>
      </c>
      <c r="AV105" s="123">
        <f t="shared" si="307"/>
        <v>757.49999999999989</v>
      </c>
      <c r="AW105" s="123">
        <f t="shared" si="307"/>
        <v>757.49999999999989</v>
      </c>
      <c r="AX105" s="123">
        <f t="shared" si="307"/>
        <v>757.49999999999989</v>
      </c>
      <c r="AY105" s="123">
        <f t="shared" si="307"/>
        <v>757.49999999999989</v>
      </c>
      <c r="AZ105" s="123">
        <f t="shared" si="307"/>
        <v>757.49999999999989</v>
      </c>
      <c r="BA105" s="123">
        <f t="shared" ref="BA105:BJ105" si="308">SUM(BA106:BA107)</f>
        <v>757.49999999999989</v>
      </c>
      <c r="BB105" s="123">
        <f t="shared" si="308"/>
        <v>757.49999999999989</v>
      </c>
      <c r="BC105" s="123">
        <f t="shared" si="308"/>
        <v>757.49999999999989</v>
      </c>
      <c r="BD105" s="123">
        <f t="shared" si="308"/>
        <v>757.49999999999989</v>
      </c>
      <c r="BE105" s="123">
        <f t="shared" si="308"/>
        <v>757.49999999999989</v>
      </c>
      <c r="BF105" s="123">
        <f t="shared" si="308"/>
        <v>757.49999999999989</v>
      </c>
      <c r="BG105" s="123">
        <f t="shared" si="308"/>
        <v>757.49999999999989</v>
      </c>
      <c r="BH105" s="123">
        <f t="shared" si="308"/>
        <v>757.49999999999989</v>
      </c>
      <c r="BI105" s="123">
        <f t="shared" si="308"/>
        <v>757.49999999999989</v>
      </c>
      <c r="BJ105" s="123">
        <f t="shared" si="308"/>
        <v>757.49999999999989</v>
      </c>
    </row>
    <row r="106" spans="1:62" outlineLevel="1" x14ac:dyDescent="0.25">
      <c r="A106" s="118" t="s">
        <v>214</v>
      </c>
      <c r="B106" s="119">
        <f>$B$23</f>
        <v>1500</v>
      </c>
      <c r="C106" s="119">
        <f t="shared" ref="C106:N106" si="309">C67*$G$4*$B$106</f>
        <v>0</v>
      </c>
      <c r="D106" s="119">
        <f t="shared" si="309"/>
        <v>0</v>
      </c>
      <c r="E106" s="119">
        <f t="shared" si="309"/>
        <v>0</v>
      </c>
      <c r="F106" s="119">
        <f t="shared" si="309"/>
        <v>0</v>
      </c>
      <c r="G106" s="119">
        <f t="shared" si="309"/>
        <v>0</v>
      </c>
      <c r="H106" s="119">
        <f t="shared" si="309"/>
        <v>0</v>
      </c>
      <c r="I106" s="119">
        <f t="shared" si="309"/>
        <v>0</v>
      </c>
      <c r="J106" s="119">
        <f t="shared" si="309"/>
        <v>0</v>
      </c>
      <c r="K106" s="119">
        <f t="shared" si="309"/>
        <v>0</v>
      </c>
      <c r="L106" s="119">
        <f t="shared" si="309"/>
        <v>0</v>
      </c>
      <c r="M106" s="119">
        <f t="shared" si="309"/>
        <v>0</v>
      </c>
      <c r="N106" s="119">
        <f t="shared" si="309"/>
        <v>337.49999999999994</v>
      </c>
      <c r="O106" s="119">
        <f t="shared" ref="O106:AZ106" si="310">O67*$G$4*$B$106</f>
        <v>337.49999999999994</v>
      </c>
      <c r="P106" s="119">
        <f t="shared" si="310"/>
        <v>337.49999999999994</v>
      </c>
      <c r="Q106" s="119">
        <f t="shared" si="310"/>
        <v>337.49999999999994</v>
      </c>
      <c r="R106" s="119">
        <f t="shared" si="310"/>
        <v>337.49999999999994</v>
      </c>
      <c r="S106" s="119">
        <f t="shared" si="310"/>
        <v>337.49999999999994</v>
      </c>
      <c r="T106" s="119">
        <f t="shared" si="310"/>
        <v>337.49999999999994</v>
      </c>
      <c r="U106" s="119">
        <f t="shared" si="310"/>
        <v>337.49999999999994</v>
      </c>
      <c r="V106" s="119">
        <f t="shared" si="310"/>
        <v>337.49999999999994</v>
      </c>
      <c r="W106" s="119">
        <f t="shared" si="310"/>
        <v>337.49999999999994</v>
      </c>
      <c r="X106" s="119">
        <f t="shared" si="310"/>
        <v>337.49999999999994</v>
      </c>
      <c r="Y106" s="119">
        <f t="shared" si="310"/>
        <v>337.49999999999994</v>
      </c>
      <c r="Z106" s="119">
        <f t="shared" si="310"/>
        <v>337.49999999999994</v>
      </c>
      <c r="AA106" s="119">
        <f t="shared" si="310"/>
        <v>337.49999999999994</v>
      </c>
      <c r="AB106" s="119">
        <f t="shared" si="310"/>
        <v>337.49999999999994</v>
      </c>
      <c r="AC106" s="119">
        <f t="shared" si="310"/>
        <v>337.49999999999994</v>
      </c>
      <c r="AD106" s="119">
        <f t="shared" si="310"/>
        <v>337.49999999999994</v>
      </c>
      <c r="AE106" s="119">
        <f t="shared" si="310"/>
        <v>337.49999999999994</v>
      </c>
      <c r="AF106" s="119">
        <f t="shared" si="310"/>
        <v>337.49999999999994</v>
      </c>
      <c r="AG106" s="119">
        <f t="shared" si="310"/>
        <v>337.49999999999994</v>
      </c>
      <c r="AH106" s="119">
        <f t="shared" si="310"/>
        <v>337.49999999999994</v>
      </c>
      <c r="AI106" s="119">
        <f t="shared" si="310"/>
        <v>337.49999999999994</v>
      </c>
      <c r="AJ106" s="119">
        <f t="shared" si="310"/>
        <v>337.49999999999994</v>
      </c>
      <c r="AK106" s="119">
        <f t="shared" si="310"/>
        <v>337.49999999999994</v>
      </c>
      <c r="AL106" s="119">
        <f t="shared" si="310"/>
        <v>337.49999999999994</v>
      </c>
      <c r="AM106" s="119">
        <f t="shared" si="310"/>
        <v>337.49999999999994</v>
      </c>
      <c r="AN106" s="119">
        <f t="shared" si="310"/>
        <v>337.49999999999994</v>
      </c>
      <c r="AO106" s="119">
        <f t="shared" si="310"/>
        <v>337.49999999999994</v>
      </c>
      <c r="AP106" s="119">
        <f t="shared" si="310"/>
        <v>337.49999999999994</v>
      </c>
      <c r="AQ106" s="119">
        <f t="shared" si="310"/>
        <v>337.49999999999994</v>
      </c>
      <c r="AR106" s="119">
        <f t="shared" si="310"/>
        <v>337.49999999999994</v>
      </c>
      <c r="AS106" s="119">
        <f t="shared" si="310"/>
        <v>337.49999999999994</v>
      </c>
      <c r="AT106" s="119">
        <f t="shared" si="310"/>
        <v>337.49999999999994</v>
      </c>
      <c r="AU106" s="119">
        <f t="shared" si="310"/>
        <v>337.49999999999994</v>
      </c>
      <c r="AV106" s="119">
        <f t="shared" si="310"/>
        <v>337.49999999999994</v>
      </c>
      <c r="AW106" s="119">
        <f t="shared" si="310"/>
        <v>337.49999999999994</v>
      </c>
      <c r="AX106" s="119">
        <f t="shared" si="310"/>
        <v>337.49999999999994</v>
      </c>
      <c r="AY106" s="119">
        <f t="shared" si="310"/>
        <v>337.49999999999994</v>
      </c>
      <c r="AZ106" s="119">
        <f t="shared" si="310"/>
        <v>337.49999999999994</v>
      </c>
      <c r="BA106" s="119">
        <f>BA67*$G$4*$B$106</f>
        <v>337.49999999999994</v>
      </c>
      <c r="BB106" s="119">
        <f t="shared" ref="BB106:BJ106" si="311">BB67*$G$4*$B$106</f>
        <v>337.49999999999994</v>
      </c>
      <c r="BC106" s="119">
        <f t="shared" si="311"/>
        <v>337.49999999999994</v>
      </c>
      <c r="BD106" s="119">
        <f t="shared" si="311"/>
        <v>337.49999999999994</v>
      </c>
      <c r="BE106" s="119">
        <f t="shared" si="311"/>
        <v>337.49999999999994</v>
      </c>
      <c r="BF106" s="119">
        <f t="shared" si="311"/>
        <v>337.49999999999994</v>
      </c>
      <c r="BG106" s="119">
        <f t="shared" si="311"/>
        <v>337.49999999999994</v>
      </c>
      <c r="BH106" s="119">
        <f t="shared" si="311"/>
        <v>337.49999999999994</v>
      </c>
      <c r="BI106" s="119">
        <f t="shared" si="311"/>
        <v>337.49999999999994</v>
      </c>
      <c r="BJ106" s="119">
        <f t="shared" si="311"/>
        <v>337.49999999999994</v>
      </c>
    </row>
    <row r="107" spans="1:62" outlineLevel="1" x14ac:dyDescent="0.25">
      <c r="A107" s="118" t="s">
        <v>213</v>
      </c>
      <c r="B107" s="119">
        <f>$B$24</f>
        <v>800</v>
      </c>
      <c r="C107" s="119">
        <f t="shared" ref="C107:N107" si="312">C67*$G$5*$B$107</f>
        <v>0</v>
      </c>
      <c r="D107" s="119">
        <f t="shared" si="312"/>
        <v>0</v>
      </c>
      <c r="E107" s="119">
        <f t="shared" si="312"/>
        <v>0</v>
      </c>
      <c r="F107" s="119">
        <f t="shared" si="312"/>
        <v>0</v>
      </c>
      <c r="G107" s="119">
        <f t="shared" si="312"/>
        <v>0</v>
      </c>
      <c r="H107" s="119">
        <f t="shared" si="312"/>
        <v>0</v>
      </c>
      <c r="I107" s="119">
        <f t="shared" si="312"/>
        <v>0</v>
      </c>
      <c r="J107" s="119">
        <f t="shared" si="312"/>
        <v>0</v>
      </c>
      <c r="K107" s="119">
        <f t="shared" si="312"/>
        <v>0</v>
      </c>
      <c r="L107" s="119">
        <f t="shared" si="312"/>
        <v>0</v>
      </c>
      <c r="M107" s="119">
        <f t="shared" si="312"/>
        <v>0</v>
      </c>
      <c r="N107" s="119">
        <f t="shared" si="312"/>
        <v>419.99999999999994</v>
      </c>
      <c r="O107" s="119">
        <f t="shared" ref="O107:AZ107" si="313">O67*$G$5*$B$107</f>
        <v>419.99999999999994</v>
      </c>
      <c r="P107" s="119">
        <f t="shared" si="313"/>
        <v>419.99999999999994</v>
      </c>
      <c r="Q107" s="119">
        <f t="shared" si="313"/>
        <v>419.99999999999994</v>
      </c>
      <c r="R107" s="119">
        <f t="shared" si="313"/>
        <v>419.99999999999994</v>
      </c>
      <c r="S107" s="119">
        <f t="shared" si="313"/>
        <v>419.99999999999994</v>
      </c>
      <c r="T107" s="119">
        <f t="shared" si="313"/>
        <v>419.99999999999994</v>
      </c>
      <c r="U107" s="119">
        <f t="shared" si="313"/>
        <v>419.99999999999994</v>
      </c>
      <c r="V107" s="119">
        <f t="shared" si="313"/>
        <v>419.99999999999994</v>
      </c>
      <c r="W107" s="119">
        <f t="shared" si="313"/>
        <v>419.99999999999994</v>
      </c>
      <c r="X107" s="119">
        <f t="shared" si="313"/>
        <v>419.99999999999994</v>
      </c>
      <c r="Y107" s="119">
        <f t="shared" si="313"/>
        <v>419.99999999999994</v>
      </c>
      <c r="Z107" s="119">
        <f t="shared" si="313"/>
        <v>419.99999999999994</v>
      </c>
      <c r="AA107" s="119">
        <f t="shared" si="313"/>
        <v>419.99999999999994</v>
      </c>
      <c r="AB107" s="119">
        <f t="shared" si="313"/>
        <v>419.99999999999994</v>
      </c>
      <c r="AC107" s="119">
        <f t="shared" si="313"/>
        <v>419.99999999999994</v>
      </c>
      <c r="AD107" s="119">
        <f t="shared" si="313"/>
        <v>419.99999999999994</v>
      </c>
      <c r="AE107" s="119">
        <f t="shared" si="313"/>
        <v>419.99999999999994</v>
      </c>
      <c r="AF107" s="119">
        <f t="shared" si="313"/>
        <v>419.99999999999994</v>
      </c>
      <c r="AG107" s="119">
        <f t="shared" si="313"/>
        <v>419.99999999999994</v>
      </c>
      <c r="AH107" s="119">
        <f t="shared" si="313"/>
        <v>419.99999999999994</v>
      </c>
      <c r="AI107" s="119">
        <f t="shared" si="313"/>
        <v>419.99999999999994</v>
      </c>
      <c r="AJ107" s="119">
        <f t="shared" si="313"/>
        <v>419.99999999999994</v>
      </c>
      <c r="AK107" s="119">
        <f t="shared" si="313"/>
        <v>419.99999999999994</v>
      </c>
      <c r="AL107" s="119">
        <f t="shared" si="313"/>
        <v>419.99999999999994</v>
      </c>
      <c r="AM107" s="119">
        <f t="shared" si="313"/>
        <v>419.99999999999994</v>
      </c>
      <c r="AN107" s="119">
        <f t="shared" si="313"/>
        <v>419.99999999999994</v>
      </c>
      <c r="AO107" s="119">
        <f t="shared" si="313"/>
        <v>419.99999999999994</v>
      </c>
      <c r="AP107" s="119">
        <f t="shared" si="313"/>
        <v>419.99999999999994</v>
      </c>
      <c r="AQ107" s="119">
        <f t="shared" si="313"/>
        <v>419.99999999999994</v>
      </c>
      <c r="AR107" s="119">
        <f t="shared" si="313"/>
        <v>419.99999999999994</v>
      </c>
      <c r="AS107" s="119">
        <f t="shared" si="313"/>
        <v>419.99999999999994</v>
      </c>
      <c r="AT107" s="119">
        <f t="shared" si="313"/>
        <v>419.99999999999994</v>
      </c>
      <c r="AU107" s="119">
        <f t="shared" si="313"/>
        <v>419.99999999999994</v>
      </c>
      <c r="AV107" s="119">
        <f t="shared" si="313"/>
        <v>419.99999999999994</v>
      </c>
      <c r="AW107" s="119">
        <f t="shared" si="313"/>
        <v>419.99999999999994</v>
      </c>
      <c r="AX107" s="119">
        <f t="shared" si="313"/>
        <v>419.99999999999994</v>
      </c>
      <c r="AY107" s="119">
        <f t="shared" si="313"/>
        <v>419.99999999999994</v>
      </c>
      <c r="AZ107" s="119">
        <f t="shared" si="313"/>
        <v>419.99999999999994</v>
      </c>
      <c r="BA107" s="119">
        <f>BA67*$G$5*$B$107</f>
        <v>419.99999999999994</v>
      </c>
      <c r="BB107" s="119">
        <f t="shared" ref="BB107:BJ107" si="314">BB67*$G$5*$B$107</f>
        <v>419.99999999999994</v>
      </c>
      <c r="BC107" s="119">
        <f t="shared" si="314"/>
        <v>419.99999999999994</v>
      </c>
      <c r="BD107" s="119">
        <f t="shared" si="314"/>
        <v>419.99999999999994</v>
      </c>
      <c r="BE107" s="119">
        <f t="shared" si="314"/>
        <v>419.99999999999994</v>
      </c>
      <c r="BF107" s="119">
        <f t="shared" si="314"/>
        <v>419.99999999999994</v>
      </c>
      <c r="BG107" s="119">
        <f t="shared" si="314"/>
        <v>419.99999999999994</v>
      </c>
      <c r="BH107" s="119">
        <f t="shared" si="314"/>
        <v>419.99999999999994</v>
      </c>
      <c r="BI107" s="119">
        <f t="shared" si="314"/>
        <v>419.99999999999994</v>
      </c>
      <c r="BJ107" s="119">
        <f t="shared" si="314"/>
        <v>419.99999999999994</v>
      </c>
    </row>
    <row r="108" spans="1:62" outlineLevel="1" x14ac:dyDescent="0.25">
      <c r="A108" s="93" t="s">
        <v>231</v>
      </c>
      <c r="B108" s="122"/>
      <c r="C108" s="123">
        <f>SUM(C109:C110)</f>
        <v>0</v>
      </c>
      <c r="D108" s="123">
        <f t="shared" ref="D108" si="315">SUM(D109:D110)</f>
        <v>0</v>
      </c>
      <c r="E108" s="123">
        <f t="shared" ref="E108" si="316">SUM(E109:E110)</f>
        <v>0</v>
      </c>
      <c r="F108" s="123">
        <f t="shared" ref="F108" si="317">SUM(F109:F110)</f>
        <v>0</v>
      </c>
      <c r="G108" s="123">
        <f t="shared" ref="G108" si="318">SUM(G109:G110)</f>
        <v>0</v>
      </c>
      <c r="H108" s="123">
        <f t="shared" ref="H108" si="319">SUM(H109:H110)</f>
        <v>0</v>
      </c>
      <c r="I108" s="123">
        <f t="shared" ref="I108" si="320">SUM(I109:I110)</f>
        <v>0</v>
      </c>
      <c r="J108" s="123">
        <f t="shared" ref="J108" si="321">SUM(J109:J110)</f>
        <v>0</v>
      </c>
      <c r="K108" s="123">
        <f t="shared" ref="K108" si="322">SUM(K109:K110)</f>
        <v>0</v>
      </c>
      <c r="L108" s="123">
        <f t="shared" ref="L108" si="323">SUM(L109:L110)</f>
        <v>0</v>
      </c>
      <c r="M108" s="123">
        <f t="shared" ref="M108" si="324">SUM(M109:M110)</f>
        <v>0</v>
      </c>
      <c r="N108" s="123">
        <f t="shared" ref="N108:AZ108" si="325">SUM(N109:N110)</f>
        <v>757.49999999999989</v>
      </c>
      <c r="O108" s="123">
        <f t="shared" si="325"/>
        <v>757.49999999999989</v>
      </c>
      <c r="P108" s="123">
        <f t="shared" si="325"/>
        <v>757.49999999999989</v>
      </c>
      <c r="Q108" s="123">
        <f t="shared" si="325"/>
        <v>757.49999999999989</v>
      </c>
      <c r="R108" s="123">
        <f t="shared" si="325"/>
        <v>757.49999999999989</v>
      </c>
      <c r="S108" s="123">
        <f t="shared" si="325"/>
        <v>757.49999999999989</v>
      </c>
      <c r="T108" s="123">
        <f t="shared" si="325"/>
        <v>757.49999999999989</v>
      </c>
      <c r="U108" s="123">
        <f t="shared" si="325"/>
        <v>757.49999999999989</v>
      </c>
      <c r="V108" s="123">
        <f t="shared" si="325"/>
        <v>757.49999999999989</v>
      </c>
      <c r="W108" s="123">
        <f t="shared" si="325"/>
        <v>757.49999999999989</v>
      </c>
      <c r="X108" s="123">
        <f t="shared" si="325"/>
        <v>757.49999999999989</v>
      </c>
      <c r="Y108" s="123">
        <f t="shared" si="325"/>
        <v>757.49999999999989</v>
      </c>
      <c r="Z108" s="123">
        <f t="shared" si="325"/>
        <v>757.49999999999989</v>
      </c>
      <c r="AA108" s="123">
        <f t="shared" si="325"/>
        <v>757.49999999999989</v>
      </c>
      <c r="AB108" s="123">
        <f t="shared" si="325"/>
        <v>757.49999999999989</v>
      </c>
      <c r="AC108" s="123">
        <f t="shared" si="325"/>
        <v>757.49999999999989</v>
      </c>
      <c r="AD108" s="123">
        <f t="shared" si="325"/>
        <v>757.49999999999989</v>
      </c>
      <c r="AE108" s="123">
        <f t="shared" si="325"/>
        <v>757.49999999999989</v>
      </c>
      <c r="AF108" s="123">
        <f t="shared" si="325"/>
        <v>757.49999999999989</v>
      </c>
      <c r="AG108" s="123">
        <f t="shared" si="325"/>
        <v>757.49999999999989</v>
      </c>
      <c r="AH108" s="123">
        <f t="shared" si="325"/>
        <v>757.49999999999989</v>
      </c>
      <c r="AI108" s="123">
        <f t="shared" si="325"/>
        <v>757.49999999999989</v>
      </c>
      <c r="AJ108" s="123">
        <f t="shared" si="325"/>
        <v>757.49999999999989</v>
      </c>
      <c r="AK108" s="123">
        <f t="shared" si="325"/>
        <v>757.49999999999989</v>
      </c>
      <c r="AL108" s="123">
        <f t="shared" si="325"/>
        <v>757.49999999999989</v>
      </c>
      <c r="AM108" s="123">
        <f t="shared" si="325"/>
        <v>757.49999999999989</v>
      </c>
      <c r="AN108" s="123">
        <f t="shared" si="325"/>
        <v>757.49999999999989</v>
      </c>
      <c r="AO108" s="123">
        <f t="shared" si="325"/>
        <v>757.49999999999989</v>
      </c>
      <c r="AP108" s="123">
        <f t="shared" si="325"/>
        <v>757.49999999999989</v>
      </c>
      <c r="AQ108" s="123">
        <f t="shared" si="325"/>
        <v>757.49999999999989</v>
      </c>
      <c r="AR108" s="123">
        <f t="shared" si="325"/>
        <v>757.49999999999989</v>
      </c>
      <c r="AS108" s="123">
        <f t="shared" si="325"/>
        <v>757.49999999999989</v>
      </c>
      <c r="AT108" s="123">
        <f t="shared" si="325"/>
        <v>757.49999999999989</v>
      </c>
      <c r="AU108" s="123">
        <f t="shared" si="325"/>
        <v>757.49999999999989</v>
      </c>
      <c r="AV108" s="123">
        <f t="shared" si="325"/>
        <v>757.49999999999989</v>
      </c>
      <c r="AW108" s="123">
        <f t="shared" si="325"/>
        <v>757.49999999999989</v>
      </c>
      <c r="AX108" s="123">
        <f t="shared" si="325"/>
        <v>757.49999999999989</v>
      </c>
      <c r="AY108" s="123">
        <f t="shared" si="325"/>
        <v>757.49999999999989</v>
      </c>
      <c r="AZ108" s="123">
        <f t="shared" si="325"/>
        <v>757.49999999999989</v>
      </c>
      <c r="BA108" s="123">
        <f t="shared" ref="BA108:BJ108" si="326">SUM(BA109:BA110)</f>
        <v>757.49999999999989</v>
      </c>
      <c r="BB108" s="123">
        <f t="shared" si="326"/>
        <v>757.49999999999989</v>
      </c>
      <c r="BC108" s="123">
        <f t="shared" si="326"/>
        <v>757.49999999999989</v>
      </c>
      <c r="BD108" s="123">
        <f t="shared" si="326"/>
        <v>757.49999999999989</v>
      </c>
      <c r="BE108" s="123">
        <f t="shared" si="326"/>
        <v>757.49999999999989</v>
      </c>
      <c r="BF108" s="123">
        <f t="shared" si="326"/>
        <v>757.49999999999989</v>
      </c>
      <c r="BG108" s="123">
        <f t="shared" si="326"/>
        <v>757.49999999999989</v>
      </c>
      <c r="BH108" s="123">
        <f t="shared" si="326"/>
        <v>757.49999999999989</v>
      </c>
      <c r="BI108" s="123">
        <f t="shared" si="326"/>
        <v>757.49999999999989</v>
      </c>
      <c r="BJ108" s="123">
        <f t="shared" si="326"/>
        <v>757.49999999999989</v>
      </c>
    </row>
    <row r="109" spans="1:62" outlineLevel="1" x14ac:dyDescent="0.25">
      <c r="A109" s="118" t="s">
        <v>214</v>
      </c>
      <c r="B109" s="119">
        <f>$B$23</f>
        <v>1500</v>
      </c>
      <c r="C109" s="119">
        <f t="shared" ref="C109:N109" si="327">C68*$G$4*$B$109</f>
        <v>0</v>
      </c>
      <c r="D109" s="119">
        <f t="shared" si="327"/>
        <v>0</v>
      </c>
      <c r="E109" s="119">
        <f t="shared" si="327"/>
        <v>0</v>
      </c>
      <c r="F109" s="119">
        <f t="shared" si="327"/>
        <v>0</v>
      </c>
      <c r="G109" s="119">
        <f t="shared" si="327"/>
        <v>0</v>
      </c>
      <c r="H109" s="119">
        <f t="shared" si="327"/>
        <v>0</v>
      </c>
      <c r="I109" s="119">
        <f t="shared" si="327"/>
        <v>0</v>
      </c>
      <c r="J109" s="119">
        <f t="shared" si="327"/>
        <v>0</v>
      </c>
      <c r="K109" s="119">
        <f t="shared" si="327"/>
        <v>0</v>
      </c>
      <c r="L109" s="119">
        <f t="shared" si="327"/>
        <v>0</v>
      </c>
      <c r="M109" s="119">
        <f t="shared" si="327"/>
        <v>0</v>
      </c>
      <c r="N109" s="119">
        <f t="shared" si="327"/>
        <v>337.49999999999994</v>
      </c>
      <c r="O109" s="119">
        <f t="shared" ref="O109:AZ109" si="328">O68*$G$4*$B$109</f>
        <v>337.49999999999994</v>
      </c>
      <c r="P109" s="119">
        <f t="shared" si="328"/>
        <v>337.49999999999994</v>
      </c>
      <c r="Q109" s="119">
        <f t="shared" si="328"/>
        <v>337.49999999999994</v>
      </c>
      <c r="R109" s="119">
        <f t="shared" si="328"/>
        <v>337.49999999999994</v>
      </c>
      <c r="S109" s="119">
        <f t="shared" si="328"/>
        <v>337.49999999999994</v>
      </c>
      <c r="T109" s="119">
        <f t="shared" si="328"/>
        <v>337.49999999999994</v>
      </c>
      <c r="U109" s="119">
        <f t="shared" si="328"/>
        <v>337.49999999999994</v>
      </c>
      <c r="V109" s="119">
        <f t="shared" si="328"/>
        <v>337.49999999999994</v>
      </c>
      <c r="W109" s="119">
        <f t="shared" si="328"/>
        <v>337.49999999999994</v>
      </c>
      <c r="X109" s="119">
        <f t="shared" si="328"/>
        <v>337.49999999999994</v>
      </c>
      <c r="Y109" s="119">
        <f t="shared" si="328"/>
        <v>337.49999999999994</v>
      </c>
      <c r="Z109" s="119">
        <f t="shared" si="328"/>
        <v>337.49999999999994</v>
      </c>
      <c r="AA109" s="119">
        <f t="shared" si="328"/>
        <v>337.49999999999994</v>
      </c>
      <c r="AB109" s="119">
        <f t="shared" si="328"/>
        <v>337.49999999999994</v>
      </c>
      <c r="AC109" s="119">
        <f t="shared" si="328"/>
        <v>337.49999999999994</v>
      </c>
      <c r="AD109" s="119">
        <f t="shared" si="328"/>
        <v>337.49999999999994</v>
      </c>
      <c r="AE109" s="119">
        <f t="shared" si="328"/>
        <v>337.49999999999994</v>
      </c>
      <c r="AF109" s="119">
        <f t="shared" si="328"/>
        <v>337.49999999999994</v>
      </c>
      <c r="AG109" s="119">
        <f t="shared" si="328"/>
        <v>337.49999999999994</v>
      </c>
      <c r="AH109" s="119">
        <f t="shared" si="328"/>
        <v>337.49999999999994</v>
      </c>
      <c r="AI109" s="119">
        <f t="shared" si="328"/>
        <v>337.49999999999994</v>
      </c>
      <c r="AJ109" s="119">
        <f t="shared" si="328"/>
        <v>337.49999999999994</v>
      </c>
      <c r="AK109" s="119">
        <f t="shared" si="328"/>
        <v>337.49999999999994</v>
      </c>
      <c r="AL109" s="119">
        <f t="shared" si="328"/>
        <v>337.49999999999994</v>
      </c>
      <c r="AM109" s="119">
        <f t="shared" si="328"/>
        <v>337.49999999999994</v>
      </c>
      <c r="AN109" s="119">
        <f t="shared" si="328"/>
        <v>337.49999999999994</v>
      </c>
      <c r="AO109" s="119">
        <f t="shared" si="328"/>
        <v>337.49999999999994</v>
      </c>
      <c r="AP109" s="119">
        <f t="shared" si="328"/>
        <v>337.49999999999994</v>
      </c>
      <c r="AQ109" s="119">
        <f t="shared" si="328"/>
        <v>337.49999999999994</v>
      </c>
      <c r="AR109" s="119">
        <f t="shared" si="328"/>
        <v>337.49999999999994</v>
      </c>
      <c r="AS109" s="119">
        <f t="shared" si="328"/>
        <v>337.49999999999994</v>
      </c>
      <c r="AT109" s="119">
        <f t="shared" si="328"/>
        <v>337.49999999999994</v>
      </c>
      <c r="AU109" s="119">
        <f t="shared" si="328"/>
        <v>337.49999999999994</v>
      </c>
      <c r="AV109" s="119">
        <f t="shared" si="328"/>
        <v>337.49999999999994</v>
      </c>
      <c r="AW109" s="119">
        <f t="shared" si="328"/>
        <v>337.49999999999994</v>
      </c>
      <c r="AX109" s="119">
        <f t="shared" si="328"/>
        <v>337.49999999999994</v>
      </c>
      <c r="AY109" s="119">
        <f t="shared" si="328"/>
        <v>337.49999999999994</v>
      </c>
      <c r="AZ109" s="119">
        <f t="shared" si="328"/>
        <v>337.49999999999994</v>
      </c>
      <c r="BA109" s="119">
        <f>BA68*$G$4*$B$109</f>
        <v>337.49999999999994</v>
      </c>
      <c r="BB109" s="119">
        <f t="shared" ref="BB109:BJ109" si="329">BB68*$G$4*$B$109</f>
        <v>337.49999999999994</v>
      </c>
      <c r="BC109" s="119">
        <f t="shared" si="329"/>
        <v>337.49999999999994</v>
      </c>
      <c r="BD109" s="119">
        <f t="shared" si="329"/>
        <v>337.49999999999994</v>
      </c>
      <c r="BE109" s="119">
        <f t="shared" si="329"/>
        <v>337.49999999999994</v>
      </c>
      <c r="BF109" s="119">
        <f t="shared" si="329"/>
        <v>337.49999999999994</v>
      </c>
      <c r="BG109" s="119">
        <f t="shared" si="329"/>
        <v>337.49999999999994</v>
      </c>
      <c r="BH109" s="119">
        <f t="shared" si="329"/>
        <v>337.49999999999994</v>
      </c>
      <c r="BI109" s="119">
        <f t="shared" si="329"/>
        <v>337.49999999999994</v>
      </c>
      <c r="BJ109" s="119">
        <f t="shared" si="329"/>
        <v>337.49999999999994</v>
      </c>
    </row>
    <row r="110" spans="1:62" ht="17" outlineLevel="1" thickBot="1" x14ac:dyDescent="0.3">
      <c r="A110" s="118" t="s">
        <v>213</v>
      </c>
      <c r="B110" s="119">
        <f>$B$24</f>
        <v>800</v>
      </c>
      <c r="C110" s="119">
        <f t="shared" ref="C110:N110" si="330">C68*$G$5*$B$110</f>
        <v>0</v>
      </c>
      <c r="D110" s="119">
        <f t="shared" si="330"/>
        <v>0</v>
      </c>
      <c r="E110" s="119">
        <f t="shared" si="330"/>
        <v>0</v>
      </c>
      <c r="F110" s="119">
        <f t="shared" si="330"/>
        <v>0</v>
      </c>
      <c r="G110" s="119">
        <f t="shared" si="330"/>
        <v>0</v>
      </c>
      <c r="H110" s="119">
        <f t="shared" si="330"/>
        <v>0</v>
      </c>
      <c r="I110" s="119">
        <f t="shared" si="330"/>
        <v>0</v>
      </c>
      <c r="J110" s="119">
        <f t="shared" si="330"/>
        <v>0</v>
      </c>
      <c r="K110" s="119">
        <f t="shared" si="330"/>
        <v>0</v>
      </c>
      <c r="L110" s="119">
        <f t="shared" si="330"/>
        <v>0</v>
      </c>
      <c r="M110" s="119">
        <f t="shared" si="330"/>
        <v>0</v>
      </c>
      <c r="N110" s="119">
        <f t="shared" si="330"/>
        <v>419.99999999999994</v>
      </c>
      <c r="O110" s="119">
        <f t="shared" ref="O110:AZ110" si="331">O68*$G$5*$B$110</f>
        <v>419.99999999999994</v>
      </c>
      <c r="P110" s="119">
        <f t="shared" si="331"/>
        <v>419.99999999999994</v>
      </c>
      <c r="Q110" s="119">
        <f t="shared" si="331"/>
        <v>419.99999999999994</v>
      </c>
      <c r="R110" s="119">
        <f t="shared" si="331"/>
        <v>419.99999999999994</v>
      </c>
      <c r="S110" s="119">
        <f t="shared" si="331"/>
        <v>419.99999999999994</v>
      </c>
      <c r="T110" s="119">
        <f t="shared" si="331"/>
        <v>419.99999999999994</v>
      </c>
      <c r="U110" s="119">
        <f t="shared" si="331"/>
        <v>419.99999999999994</v>
      </c>
      <c r="V110" s="119">
        <f t="shared" si="331"/>
        <v>419.99999999999994</v>
      </c>
      <c r="W110" s="119">
        <f t="shared" si="331"/>
        <v>419.99999999999994</v>
      </c>
      <c r="X110" s="119">
        <f t="shared" si="331"/>
        <v>419.99999999999994</v>
      </c>
      <c r="Y110" s="119">
        <f t="shared" si="331"/>
        <v>419.99999999999994</v>
      </c>
      <c r="Z110" s="119">
        <f t="shared" si="331"/>
        <v>419.99999999999994</v>
      </c>
      <c r="AA110" s="119">
        <f t="shared" si="331"/>
        <v>419.99999999999994</v>
      </c>
      <c r="AB110" s="119">
        <f t="shared" si="331"/>
        <v>419.99999999999994</v>
      </c>
      <c r="AC110" s="119">
        <f t="shared" si="331"/>
        <v>419.99999999999994</v>
      </c>
      <c r="AD110" s="119">
        <f t="shared" si="331"/>
        <v>419.99999999999994</v>
      </c>
      <c r="AE110" s="119">
        <f t="shared" si="331"/>
        <v>419.99999999999994</v>
      </c>
      <c r="AF110" s="119">
        <f t="shared" si="331"/>
        <v>419.99999999999994</v>
      </c>
      <c r="AG110" s="119">
        <f t="shared" si="331"/>
        <v>419.99999999999994</v>
      </c>
      <c r="AH110" s="119">
        <f t="shared" si="331"/>
        <v>419.99999999999994</v>
      </c>
      <c r="AI110" s="119">
        <f t="shared" si="331"/>
        <v>419.99999999999994</v>
      </c>
      <c r="AJ110" s="119">
        <f t="shared" si="331"/>
        <v>419.99999999999994</v>
      </c>
      <c r="AK110" s="119">
        <f t="shared" si="331"/>
        <v>419.99999999999994</v>
      </c>
      <c r="AL110" s="119">
        <f t="shared" si="331"/>
        <v>419.99999999999994</v>
      </c>
      <c r="AM110" s="119">
        <f t="shared" si="331"/>
        <v>419.99999999999994</v>
      </c>
      <c r="AN110" s="119">
        <f t="shared" si="331"/>
        <v>419.99999999999994</v>
      </c>
      <c r="AO110" s="119">
        <f t="shared" si="331"/>
        <v>419.99999999999994</v>
      </c>
      <c r="AP110" s="119">
        <f t="shared" si="331"/>
        <v>419.99999999999994</v>
      </c>
      <c r="AQ110" s="119">
        <f t="shared" si="331"/>
        <v>419.99999999999994</v>
      </c>
      <c r="AR110" s="119">
        <f t="shared" si="331"/>
        <v>419.99999999999994</v>
      </c>
      <c r="AS110" s="119">
        <f t="shared" si="331"/>
        <v>419.99999999999994</v>
      </c>
      <c r="AT110" s="119">
        <f t="shared" si="331"/>
        <v>419.99999999999994</v>
      </c>
      <c r="AU110" s="119">
        <f t="shared" si="331"/>
        <v>419.99999999999994</v>
      </c>
      <c r="AV110" s="119">
        <f t="shared" si="331"/>
        <v>419.99999999999994</v>
      </c>
      <c r="AW110" s="119">
        <f t="shared" si="331"/>
        <v>419.99999999999994</v>
      </c>
      <c r="AX110" s="119">
        <f t="shared" si="331"/>
        <v>419.99999999999994</v>
      </c>
      <c r="AY110" s="119">
        <f t="shared" si="331"/>
        <v>419.99999999999994</v>
      </c>
      <c r="AZ110" s="119">
        <f t="shared" si="331"/>
        <v>419.99999999999994</v>
      </c>
      <c r="BA110" s="119">
        <f>BA68*$G$5*$B$110</f>
        <v>419.99999999999994</v>
      </c>
      <c r="BB110" s="119">
        <f t="shared" ref="BB110:BJ110" si="332">BB68*$G$5*$B$110</f>
        <v>419.99999999999994</v>
      </c>
      <c r="BC110" s="119">
        <f t="shared" si="332"/>
        <v>419.99999999999994</v>
      </c>
      <c r="BD110" s="119">
        <f t="shared" si="332"/>
        <v>419.99999999999994</v>
      </c>
      <c r="BE110" s="119">
        <f t="shared" si="332"/>
        <v>419.99999999999994</v>
      </c>
      <c r="BF110" s="119">
        <f t="shared" si="332"/>
        <v>419.99999999999994</v>
      </c>
      <c r="BG110" s="119">
        <f t="shared" si="332"/>
        <v>419.99999999999994</v>
      </c>
      <c r="BH110" s="119">
        <f t="shared" si="332"/>
        <v>419.99999999999994</v>
      </c>
      <c r="BI110" s="119">
        <f t="shared" si="332"/>
        <v>419.99999999999994</v>
      </c>
      <c r="BJ110" s="119">
        <f t="shared" si="332"/>
        <v>419.99999999999994</v>
      </c>
    </row>
    <row r="111" spans="1:62" x14ac:dyDescent="0.25">
      <c r="A111" s="113" t="s">
        <v>239</v>
      </c>
      <c r="B111" s="120"/>
      <c r="C111" s="120">
        <f>C108+C105+C102+C99+C96+C93+C90+C87+C84+C81+C78+C75</f>
        <v>1820</v>
      </c>
      <c r="D111" s="120">
        <f t="shared" ref="D111:N111" si="333">D108+D105+D102+D99+D96+D93+D90+D87+D84+D81+D78+D75</f>
        <v>1820</v>
      </c>
      <c r="E111" s="120">
        <f t="shared" si="333"/>
        <v>1820</v>
      </c>
      <c r="F111" s="120">
        <f t="shared" si="333"/>
        <v>3640</v>
      </c>
      <c r="G111" s="120">
        <f t="shared" si="333"/>
        <v>3640</v>
      </c>
      <c r="H111" s="120">
        <f t="shared" si="333"/>
        <v>3640</v>
      </c>
      <c r="I111" s="120">
        <f t="shared" si="333"/>
        <v>3640</v>
      </c>
      <c r="J111" s="120">
        <f t="shared" si="333"/>
        <v>7280</v>
      </c>
      <c r="K111" s="120">
        <f t="shared" si="333"/>
        <v>8037.5</v>
      </c>
      <c r="L111" s="120">
        <f t="shared" si="333"/>
        <v>11502.5</v>
      </c>
      <c r="M111" s="120">
        <f t="shared" si="333"/>
        <v>14210</v>
      </c>
      <c r="N111" s="120">
        <f t="shared" si="333"/>
        <v>17675</v>
      </c>
      <c r="O111" s="120">
        <f t="shared" ref="O111:BA111" si="334">O108+O105+O102+O99+O96+O93+O90+O87+O84+O81+O78+O75</f>
        <v>17714</v>
      </c>
      <c r="P111" s="120">
        <f t="shared" si="334"/>
        <v>17753.78</v>
      </c>
      <c r="Q111" s="120">
        <f t="shared" si="334"/>
        <v>17794.355599999999</v>
      </c>
      <c r="R111" s="120">
        <f t="shared" si="334"/>
        <v>17835.742711999999</v>
      </c>
      <c r="S111" s="120">
        <f t="shared" si="334"/>
        <v>17877.957566239998</v>
      </c>
      <c r="T111" s="120">
        <f t="shared" si="334"/>
        <v>17921.016717564798</v>
      </c>
      <c r="U111" s="120">
        <f t="shared" si="334"/>
        <v>17964.937051916095</v>
      </c>
      <c r="V111" s="120">
        <f t="shared" si="334"/>
        <v>18009.735792954416</v>
      </c>
      <c r="W111" s="120">
        <f t="shared" si="334"/>
        <v>18055.430508813508</v>
      </c>
      <c r="X111" s="120">
        <f t="shared" si="334"/>
        <v>18102.039118989775</v>
      </c>
      <c r="Y111" s="120">
        <f t="shared" si="334"/>
        <v>18149.579901369572</v>
      </c>
      <c r="Z111" s="120">
        <f t="shared" si="334"/>
        <v>18198.071499396963</v>
      </c>
      <c r="AA111" s="120">
        <f t="shared" si="334"/>
        <v>18247.532929384903</v>
      </c>
      <c r="AB111" s="120">
        <f t="shared" si="334"/>
        <v>18297.983587972602</v>
      </c>
      <c r="AC111" s="120">
        <f t="shared" si="334"/>
        <v>18349.443259732052</v>
      </c>
      <c r="AD111" s="120">
        <f t="shared" si="334"/>
        <v>18401.932124926694</v>
      </c>
      <c r="AE111" s="120">
        <f t="shared" si="334"/>
        <v>18455.470767425228</v>
      </c>
      <c r="AF111" s="120">
        <f t="shared" si="334"/>
        <v>18510.08018277373</v>
      </c>
      <c r="AG111" s="120">
        <f t="shared" si="334"/>
        <v>18565.781786429208</v>
      </c>
      <c r="AH111" s="120">
        <f t="shared" si="334"/>
        <v>18622.597422157793</v>
      </c>
      <c r="AI111" s="120">
        <f t="shared" si="334"/>
        <v>18680.549370600947</v>
      </c>
      <c r="AJ111" s="120">
        <f t="shared" si="334"/>
        <v>18739.660358012967</v>
      </c>
      <c r="AK111" s="120">
        <f t="shared" si="334"/>
        <v>18799.953565173226</v>
      </c>
      <c r="AL111" s="120">
        <f t="shared" si="334"/>
        <v>18861.45263647669</v>
      </c>
      <c r="AM111" s="120">
        <f t="shared" si="334"/>
        <v>18924.181689206223</v>
      </c>
      <c r="AN111" s="120">
        <f t="shared" si="334"/>
        <v>18988.165322990346</v>
      </c>
      <c r="AO111" s="120">
        <f t="shared" si="334"/>
        <v>19053.428629450154</v>
      </c>
      <c r="AP111" s="120">
        <f t="shared" si="334"/>
        <v>19119.997202039158</v>
      </c>
      <c r="AQ111" s="120">
        <f t="shared" si="334"/>
        <v>19187.89714607994</v>
      </c>
      <c r="AR111" s="120">
        <f t="shared" si="334"/>
        <v>19257.155089001542</v>
      </c>
      <c r="AS111" s="120">
        <f t="shared" si="334"/>
        <v>19327.79819078157</v>
      </c>
      <c r="AT111" s="120">
        <f t="shared" si="334"/>
        <v>19399.854154597204</v>
      </c>
      <c r="AU111" s="120">
        <f t="shared" si="334"/>
        <v>19473.351237689149</v>
      </c>
      <c r="AV111" s="120">
        <f t="shared" si="334"/>
        <v>19548.318262442932</v>
      </c>
      <c r="AW111" s="120">
        <f t="shared" si="334"/>
        <v>19624.784627691792</v>
      </c>
      <c r="AX111" s="120">
        <f t="shared" si="334"/>
        <v>19702.780320245627</v>
      </c>
      <c r="AY111" s="120">
        <f t="shared" si="334"/>
        <v>19782.335926650536</v>
      </c>
      <c r="AZ111" s="120">
        <f t="shared" si="334"/>
        <v>19863.482645183547</v>
      </c>
      <c r="BA111" s="120">
        <f t="shared" si="334"/>
        <v>19946.25229808722</v>
      </c>
      <c r="BB111" s="120">
        <f t="shared" ref="BB111:BJ111" si="335">BB108+BB105+BB102+BB99+BB96+BB93+BB90+BB87+BB84+BB81+BB78+BB75</f>
        <v>20030.677344048963</v>
      </c>
      <c r="BC111" s="120">
        <f t="shared" si="335"/>
        <v>20116.790890929944</v>
      </c>
      <c r="BD111" s="120">
        <f t="shared" si="335"/>
        <v>20204.626708748543</v>
      </c>
      <c r="BE111" s="120">
        <f t="shared" si="335"/>
        <v>20294.219242923515</v>
      </c>
      <c r="BF111" s="120">
        <f t="shared" si="335"/>
        <v>20385.603627781984</v>
      </c>
      <c r="BG111" s="120">
        <f t="shared" si="335"/>
        <v>20478.815700337625</v>
      </c>
      <c r="BH111" s="120">
        <f t="shared" si="335"/>
        <v>20573.892014344376</v>
      </c>
      <c r="BI111" s="120">
        <f t="shared" si="335"/>
        <v>20670.869854631263</v>
      </c>
      <c r="BJ111" s="120">
        <f t="shared" si="335"/>
        <v>20769.787251723887</v>
      </c>
    </row>
    <row r="112" spans="1:62" x14ac:dyDescent="0.25">
      <c r="A112" s="129" t="s">
        <v>247</v>
      </c>
      <c r="B112" s="130"/>
      <c r="C112" s="130">
        <f>C111/C69</f>
        <v>1820</v>
      </c>
      <c r="D112" s="130">
        <f t="shared" ref="D112:N112" si="336">D111/D69</f>
        <v>1820</v>
      </c>
      <c r="E112" s="130">
        <f t="shared" si="336"/>
        <v>1820</v>
      </c>
      <c r="F112" s="130">
        <f t="shared" si="336"/>
        <v>3640</v>
      </c>
      <c r="G112" s="130">
        <f t="shared" si="336"/>
        <v>3640</v>
      </c>
      <c r="H112" s="130">
        <f t="shared" si="336"/>
        <v>3640</v>
      </c>
      <c r="I112" s="130">
        <f t="shared" si="336"/>
        <v>3640</v>
      </c>
      <c r="J112" s="130">
        <f t="shared" si="336"/>
        <v>2426.6666666666665</v>
      </c>
      <c r="K112" s="130">
        <f t="shared" si="336"/>
        <v>2009.375</v>
      </c>
      <c r="L112" s="130">
        <f t="shared" si="336"/>
        <v>1917.0833333333333</v>
      </c>
      <c r="M112" s="130">
        <f t="shared" si="336"/>
        <v>1776.25</v>
      </c>
      <c r="N112" s="130">
        <f t="shared" si="336"/>
        <v>1767.5</v>
      </c>
      <c r="O112" s="130">
        <f t="shared" ref="O112:BA112" si="337">O111/O69</f>
        <v>1771.4</v>
      </c>
      <c r="P112" s="130">
        <f t="shared" si="337"/>
        <v>1775.3779999999999</v>
      </c>
      <c r="Q112" s="130">
        <f t="shared" si="337"/>
        <v>1779.4355599999999</v>
      </c>
      <c r="R112" s="130">
        <f t="shared" si="337"/>
        <v>1783.5742711999999</v>
      </c>
      <c r="S112" s="130">
        <f t="shared" si="337"/>
        <v>1787.7957566239998</v>
      </c>
      <c r="T112" s="130">
        <f t="shared" si="337"/>
        <v>1792.1016717564798</v>
      </c>
      <c r="U112" s="130">
        <f t="shared" si="337"/>
        <v>1796.4937051916095</v>
      </c>
      <c r="V112" s="130">
        <f t="shared" si="337"/>
        <v>1800.9735792954416</v>
      </c>
      <c r="W112" s="130">
        <f t="shared" si="337"/>
        <v>1805.5430508813508</v>
      </c>
      <c r="X112" s="130">
        <f t="shared" si="337"/>
        <v>1645.6399199081613</v>
      </c>
      <c r="Y112" s="130">
        <f t="shared" si="337"/>
        <v>1649.9618092154158</v>
      </c>
      <c r="Z112" s="130">
        <f t="shared" si="337"/>
        <v>1654.3701363088148</v>
      </c>
      <c r="AA112" s="130">
        <f t="shared" si="337"/>
        <v>1658.866629944082</v>
      </c>
      <c r="AB112" s="130">
        <f t="shared" si="337"/>
        <v>1663.4530534520547</v>
      </c>
      <c r="AC112" s="130">
        <f t="shared" si="337"/>
        <v>1668.1312054301866</v>
      </c>
      <c r="AD112" s="130">
        <f t="shared" si="337"/>
        <v>1672.9029204478813</v>
      </c>
      <c r="AE112" s="130">
        <f t="shared" si="337"/>
        <v>1677.7700697659297</v>
      </c>
      <c r="AF112" s="130">
        <f t="shared" si="337"/>
        <v>1682.7345620703391</v>
      </c>
      <c r="AG112" s="130">
        <f t="shared" si="337"/>
        <v>1687.7983442208372</v>
      </c>
      <c r="AH112" s="130">
        <f t="shared" si="337"/>
        <v>1692.9634020143449</v>
      </c>
      <c r="AI112" s="130">
        <f t="shared" si="337"/>
        <v>1698.2317609637225</v>
      </c>
      <c r="AJ112" s="130">
        <f t="shared" si="337"/>
        <v>1703.605487092088</v>
      </c>
      <c r="AK112" s="130">
        <f t="shared" si="337"/>
        <v>1709.0866877430205</v>
      </c>
      <c r="AL112" s="130">
        <f t="shared" si="337"/>
        <v>1714.6775124069718</v>
      </c>
      <c r="AM112" s="130">
        <f t="shared" si="337"/>
        <v>1720.3801535642021</v>
      </c>
      <c r="AN112" s="130">
        <f t="shared" si="337"/>
        <v>1726.1968475445769</v>
      </c>
      <c r="AO112" s="130">
        <f t="shared" si="337"/>
        <v>1732.1298754045595</v>
      </c>
      <c r="AP112" s="130">
        <f t="shared" si="337"/>
        <v>1738.1815638217415</v>
      </c>
      <c r="AQ112" s="130">
        <f t="shared" si="337"/>
        <v>1744.3542860072673</v>
      </c>
      <c r="AR112" s="130">
        <f t="shared" si="337"/>
        <v>1750.6504626365038</v>
      </c>
      <c r="AS112" s="130">
        <f t="shared" si="337"/>
        <v>1757.0725627983245</v>
      </c>
      <c r="AT112" s="130">
        <f t="shared" si="337"/>
        <v>1763.6231049633823</v>
      </c>
      <c r="AU112" s="130">
        <f t="shared" si="337"/>
        <v>1770.3046579717409</v>
      </c>
      <c r="AV112" s="130">
        <f t="shared" si="337"/>
        <v>1777.1198420402666</v>
      </c>
      <c r="AW112" s="130">
        <f t="shared" si="337"/>
        <v>1784.071329790163</v>
      </c>
      <c r="AX112" s="130">
        <f t="shared" si="337"/>
        <v>1791.161847295057</v>
      </c>
      <c r="AY112" s="130">
        <f t="shared" si="337"/>
        <v>1798.3941751500488</v>
      </c>
      <c r="AZ112" s="130">
        <f t="shared" si="337"/>
        <v>1805.7711495621406</v>
      </c>
      <c r="BA112" s="130">
        <f t="shared" si="337"/>
        <v>1813.2956634624745</v>
      </c>
      <c r="BB112" s="130">
        <f t="shared" ref="BB112:BJ112" si="338">BB111/BB69</f>
        <v>1669.2231120040803</v>
      </c>
      <c r="BC112" s="130">
        <f t="shared" si="338"/>
        <v>1676.3992409108287</v>
      </c>
      <c r="BD112" s="130">
        <f t="shared" si="338"/>
        <v>1683.7188923957119</v>
      </c>
      <c r="BE112" s="130">
        <f t="shared" si="338"/>
        <v>1691.1849369102929</v>
      </c>
      <c r="BF112" s="130">
        <f t="shared" si="338"/>
        <v>1698.8003023151653</v>
      </c>
      <c r="BG112" s="130">
        <f t="shared" si="338"/>
        <v>1706.5679750281354</v>
      </c>
      <c r="BH112" s="130">
        <f t="shared" si="338"/>
        <v>1714.4910011953646</v>
      </c>
      <c r="BI112" s="130">
        <f t="shared" si="338"/>
        <v>1722.5724878859385</v>
      </c>
      <c r="BJ112" s="130">
        <f t="shared" si="338"/>
        <v>1730.8156043103238</v>
      </c>
    </row>
    <row r="114" spans="1:62" ht="34" x14ac:dyDescent="0.25">
      <c r="A114" s="30" t="s">
        <v>241</v>
      </c>
      <c r="B114" s="29" t="s">
        <v>232</v>
      </c>
      <c r="C114" s="29">
        <v>43831</v>
      </c>
      <c r="D114" s="29">
        <v>43862</v>
      </c>
      <c r="E114" s="29">
        <v>43891</v>
      </c>
      <c r="F114" s="29">
        <v>43922</v>
      </c>
      <c r="G114" s="29">
        <v>43952</v>
      </c>
      <c r="H114" s="29">
        <v>43983</v>
      </c>
      <c r="I114" s="29">
        <v>44013</v>
      </c>
      <c r="J114" s="29">
        <v>44044</v>
      </c>
      <c r="K114" s="29">
        <v>44075</v>
      </c>
      <c r="L114" s="29">
        <v>44105</v>
      </c>
      <c r="M114" s="29">
        <v>44136</v>
      </c>
      <c r="N114" s="29">
        <v>44166</v>
      </c>
      <c r="O114" s="29">
        <v>44197</v>
      </c>
      <c r="P114" s="29">
        <v>44228</v>
      </c>
      <c r="Q114" s="29">
        <v>44256</v>
      </c>
      <c r="R114" s="29">
        <v>44287</v>
      </c>
      <c r="S114" s="29">
        <v>44317</v>
      </c>
      <c r="T114" s="29">
        <v>44348</v>
      </c>
      <c r="U114" s="29">
        <v>44378</v>
      </c>
      <c r="V114" s="29">
        <v>44409</v>
      </c>
      <c r="W114" s="29">
        <v>44440</v>
      </c>
      <c r="X114" s="29">
        <v>44470</v>
      </c>
      <c r="Y114" s="29">
        <v>44501</v>
      </c>
      <c r="Z114" s="29">
        <v>44531</v>
      </c>
      <c r="AA114" s="29">
        <v>44562</v>
      </c>
      <c r="AB114" s="29">
        <v>44593</v>
      </c>
      <c r="AC114" s="29">
        <v>44621</v>
      </c>
      <c r="AD114" s="29">
        <v>44652</v>
      </c>
      <c r="AE114" s="29">
        <v>44682</v>
      </c>
      <c r="AF114" s="29">
        <v>44713</v>
      </c>
      <c r="AG114" s="29">
        <v>44743</v>
      </c>
      <c r="AH114" s="29">
        <v>44774</v>
      </c>
      <c r="AI114" s="29">
        <v>44805</v>
      </c>
      <c r="AJ114" s="29">
        <v>44835</v>
      </c>
      <c r="AK114" s="29">
        <v>44866</v>
      </c>
      <c r="AL114" s="29">
        <v>44896</v>
      </c>
      <c r="AM114" s="29">
        <v>44927</v>
      </c>
      <c r="AN114" s="29">
        <v>44958</v>
      </c>
      <c r="AO114" s="29">
        <v>44986</v>
      </c>
      <c r="AP114" s="29">
        <v>45017</v>
      </c>
      <c r="AQ114" s="29">
        <v>45047</v>
      </c>
      <c r="AR114" s="29">
        <v>45078</v>
      </c>
      <c r="AS114" s="29">
        <v>45108</v>
      </c>
      <c r="AT114" s="29">
        <v>45139</v>
      </c>
      <c r="AU114" s="29">
        <v>45170</v>
      </c>
      <c r="AV114" s="29">
        <v>45200</v>
      </c>
      <c r="AW114" s="29">
        <v>45231</v>
      </c>
      <c r="AX114" s="29">
        <v>45261</v>
      </c>
      <c r="AY114" s="29">
        <v>45292</v>
      </c>
      <c r="AZ114" s="29">
        <v>45323</v>
      </c>
      <c r="BA114" s="29">
        <v>45352</v>
      </c>
      <c r="BB114" s="29">
        <v>45383</v>
      </c>
      <c r="BC114" s="29">
        <v>45413</v>
      </c>
      <c r="BD114" s="29">
        <v>45444</v>
      </c>
      <c r="BE114" s="29">
        <v>45474</v>
      </c>
      <c r="BF114" s="29">
        <v>45505</v>
      </c>
      <c r="BG114" s="29">
        <v>45536</v>
      </c>
      <c r="BH114" s="29">
        <v>45566</v>
      </c>
      <c r="BI114" s="29">
        <v>45597</v>
      </c>
      <c r="BJ114" s="29">
        <v>45627</v>
      </c>
    </row>
    <row r="115" spans="1:62" outlineLevel="1" x14ac:dyDescent="0.25">
      <c r="A115" s="18" t="s">
        <v>178</v>
      </c>
      <c r="B115" s="124">
        <f t="shared" ref="B115:B126" si="339">B27</f>
        <v>8832</v>
      </c>
      <c r="C115" s="119">
        <f>C75</f>
        <v>1820</v>
      </c>
      <c r="D115" s="119">
        <f>C115+D75</f>
        <v>3640</v>
      </c>
      <c r="E115" s="119">
        <f t="shared" ref="E115:N115" si="340">D115+E75</f>
        <v>5460</v>
      </c>
      <c r="F115" s="119">
        <f t="shared" si="340"/>
        <v>7280</v>
      </c>
      <c r="G115" s="119">
        <f t="shared" si="340"/>
        <v>9100</v>
      </c>
      <c r="H115" s="119">
        <f t="shared" si="340"/>
        <v>10920</v>
      </c>
      <c r="I115" s="119">
        <f t="shared" si="340"/>
        <v>12740</v>
      </c>
      <c r="J115" s="119">
        <f t="shared" si="340"/>
        <v>14560</v>
      </c>
      <c r="K115" s="119">
        <f t="shared" si="340"/>
        <v>16380</v>
      </c>
      <c r="L115" s="119">
        <f t="shared" si="340"/>
        <v>18200</v>
      </c>
      <c r="M115" s="119">
        <f t="shared" si="340"/>
        <v>20020</v>
      </c>
      <c r="N115" s="119">
        <f t="shared" si="340"/>
        <v>21840</v>
      </c>
      <c r="O115" s="119">
        <f t="shared" ref="O115" si="341">N115+O75</f>
        <v>23660</v>
      </c>
      <c r="P115" s="119">
        <f t="shared" ref="P115" si="342">O115+P75</f>
        <v>25480</v>
      </c>
      <c r="Q115" s="119">
        <f t="shared" ref="Q115" si="343">P115+Q75</f>
        <v>27300</v>
      </c>
      <c r="R115" s="119">
        <f t="shared" ref="R115" si="344">Q115+R75</f>
        <v>29120</v>
      </c>
      <c r="S115" s="119">
        <f t="shared" ref="S115" si="345">R115+S75</f>
        <v>30940</v>
      </c>
      <c r="T115" s="119">
        <f t="shared" ref="T115" si="346">S115+T75</f>
        <v>32760</v>
      </c>
      <c r="U115" s="119">
        <f t="shared" ref="U115" si="347">T115+U75</f>
        <v>34580</v>
      </c>
      <c r="V115" s="119">
        <f t="shared" ref="V115" si="348">U115+V75</f>
        <v>36400</v>
      </c>
      <c r="W115" s="119">
        <f t="shared" ref="W115" si="349">V115+W75</f>
        <v>38220</v>
      </c>
      <c r="X115" s="119">
        <f t="shared" ref="X115" si="350">W115+X75</f>
        <v>40040</v>
      </c>
      <c r="Y115" s="119">
        <f t="shared" ref="Y115" si="351">X115+Y75</f>
        <v>41860</v>
      </c>
      <c r="Z115" s="119">
        <f t="shared" ref="Z115" si="352">Y115+Z75</f>
        <v>43680</v>
      </c>
      <c r="AA115" s="119">
        <f t="shared" ref="AA115" si="353">Z115+AA75</f>
        <v>45500</v>
      </c>
      <c r="AB115" s="119">
        <f t="shared" ref="AB115" si="354">AA115+AB75</f>
        <v>47320</v>
      </c>
      <c r="AC115" s="119">
        <f t="shared" ref="AC115" si="355">AB115+AC75</f>
        <v>49140</v>
      </c>
      <c r="AD115" s="119">
        <f t="shared" ref="AD115" si="356">AC115+AD75</f>
        <v>50960</v>
      </c>
      <c r="AE115" s="119">
        <f t="shared" ref="AE115" si="357">AD115+AE75</f>
        <v>52780</v>
      </c>
      <c r="AF115" s="119">
        <f t="shared" ref="AF115" si="358">AE115+AF75</f>
        <v>54600</v>
      </c>
      <c r="AG115" s="119">
        <f t="shared" ref="AG115" si="359">AF115+AG75</f>
        <v>56420</v>
      </c>
      <c r="AH115" s="119">
        <f t="shared" ref="AH115" si="360">AG115+AH75</f>
        <v>58240</v>
      </c>
      <c r="AI115" s="119">
        <f t="shared" ref="AI115" si="361">AH115+AI75</f>
        <v>60060</v>
      </c>
      <c r="AJ115" s="119">
        <f t="shared" ref="AJ115" si="362">AI115+AJ75</f>
        <v>61880</v>
      </c>
      <c r="AK115" s="119">
        <f t="shared" ref="AK115" si="363">AJ115+AK75</f>
        <v>63700</v>
      </c>
      <c r="AL115" s="119">
        <f t="shared" ref="AL115" si="364">AK115+AL75</f>
        <v>65520</v>
      </c>
      <c r="AM115" s="119">
        <f t="shared" ref="AM115" si="365">AL115+AM75</f>
        <v>67340</v>
      </c>
      <c r="AN115" s="119">
        <f t="shared" ref="AN115" si="366">AM115+AN75</f>
        <v>69160</v>
      </c>
      <c r="AO115" s="119">
        <f t="shared" ref="AO115" si="367">AN115+AO75</f>
        <v>70980</v>
      </c>
      <c r="AP115" s="119">
        <f t="shared" ref="AP115" si="368">AO115+AP75</f>
        <v>72800</v>
      </c>
      <c r="AQ115" s="119">
        <f t="shared" ref="AQ115" si="369">AP115+AQ75</f>
        <v>74620</v>
      </c>
      <c r="AR115" s="119">
        <f t="shared" ref="AR115" si="370">AQ115+AR75</f>
        <v>76440</v>
      </c>
      <c r="AS115" s="119">
        <f t="shared" ref="AS115" si="371">AR115+AS75</f>
        <v>78260</v>
      </c>
      <c r="AT115" s="119">
        <f t="shared" ref="AT115" si="372">AS115+AT75</f>
        <v>80080</v>
      </c>
      <c r="AU115" s="119">
        <f t="shared" ref="AU115" si="373">AT115+AU75</f>
        <v>81900</v>
      </c>
      <c r="AV115" s="119">
        <f t="shared" ref="AV115" si="374">AU115+AV75</f>
        <v>83720</v>
      </c>
      <c r="AW115" s="119">
        <f t="shared" ref="AW115" si="375">AV115+AW75</f>
        <v>85540</v>
      </c>
      <c r="AX115" s="119">
        <f t="shared" ref="AX115" si="376">AW115+AX75</f>
        <v>87360</v>
      </c>
      <c r="AY115" s="119">
        <f t="shared" ref="AY115" si="377">AX115+AY75</f>
        <v>89180</v>
      </c>
      <c r="AZ115" s="119">
        <f t="shared" ref="AZ115" si="378">AY115+AZ75</f>
        <v>91000</v>
      </c>
      <c r="BA115" s="119">
        <f t="shared" ref="BA115" si="379">AZ115+BA75</f>
        <v>92820</v>
      </c>
      <c r="BB115" s="119">
        <f t="shared" ref="BB115" si="380">BA115+BB75</f>
        <v>94640</v>
      </c>
      <c r="BC115" s="119">
        <f t="shared" ref="BC115" si="381">BB115+BC75</f>
        <v>96460</v>
      </c>
      <c r="BD115" s="119">
        <f t="shared" ref="BD115" si="382">BC115+BD75</f>
        <v>98280</v>
      </c>
      <c r="BE115" s="119">
        <f t="shared" ref="BE115" si="383">BD115+BE75</f>
        <v>100100</v>
      </c>
      <c r="BF115" s="119">
        <f t="shared" ref="BF115" si="384">BE115+BF75</f>
        <v>101920</v>
      </c>
      <c r="BG115" s="119">
        <f t="shared" ref="BG115" si="385">BF115+BG75</f>
        <v>103740</v>
      </c>
      <c r="BH115" s="119">
        <f t="shared" ref="BH115" si="386">BG115+BH75</f>
        <v>105560</v>
      </c>
      <c r="BI115" s="119">
        <f t="shared" ref="BI115" si="387">BH115+BI75</f>
        <v>107380</v>
      </c>
      <c r="BJ115" s="119">
        <f t="shared" ref="BJ115" si="388">BI115+BJ75</f>
        <v>109200</v>
      </c>
    </row>
    <row r="116" spans="1:62" outlineLevel="1" x14ac:dyDescent="0.25">
      <c r="A116" s="18" t="s">
        <v>229</v>
      </c>
      <c r="B116" s="124">
        <f t="shared" si="339"/>
        <v>8280</v>
      </c>
      <c r="C116" s="119">
        <f>C78</f>
        <v>0</v>
      </c>
      <c r="D116" s="119">
        <f>C116+D78</f>
        <v>0</v>
      </c>
      <c r="E116" s="119">
        <f t="shared" ref="E116:N116" si="389">D116+E78</f>
        <v>0</v>
      </c>
      <c r="F116" s="119">
        <f t="shared" si="389"/>
        <v>1820</v>
      </c>
      <c r="G116" s="119">
        <f t="shared" si="389"/>
        <v>3640</v>
      </c>
      <c r="H116" s="119">
        <f t="shared" si="389"/>
        <v>5460</v>
      </c>
      <c r="I116" s="119">
        <f t="shared" si="389"/>
        <v>7280</v>
      </c>
      <c r="J116" s="119">
        <f t="shared" si="389"/>
        <v>9100</v>
      </c>
      <c r="K116" s="119">
        <f t="shared" si="389"/>
        <v>10920</v>
      </c>
      <c r="L116" s="119">
        <f t="shared" si="389"/>
        <v>12740</v>
      </c>
      <c r="M116" s="119">
        <f t="shared" si="389"/>
        <v>14560</v>
      </c>
      <c r="N116" s="119">
        <f t="shared" si="389"/>
        <v>16380</v>
      </c>
      <c r="O116" s="119">
        <f t="shared" ref="O116" si="390">N116+O78</f>
        <v>18200</v>
      </c>
      <c r="P116" s="119">
        <f t="shared" ref="P116" si="391">O116+P78</f>
        <v>20020</v>
      </c>
      <c r="Q116" s="119">
        <f t="shared" ref="Q116" si="392">P116+Q78</f>
        <v>21840</v>
      </c>
      <c r="R116" s="119">
        <f t="shared" ref="R116" si="393">Q116+R78</f>
        <v>23660</v>
      </c>
      <c r="S116" s="119">
        <f t="shared" ref="S116" si="394">R116+S78</f>
        <v>25480</v>
      </c>
      <c r="T116" s="119">
        <f t="shared" ref="T116" si="395">S116+T78</f>
        <v>27300</v>
      </c>
      <c r="U116" s="119">
        <f t="shared" ref="U116" si="396">T116+U78</f>
        <v>29120</v>
      </c>
      <c r="V116" s="119">
        <f t="shared" ref="V116" si="397">U116+V78</f>
        <v>30940</v>
      </c>
      <c r="W116" s="119">
        <f t="shared" ref="W116" si="398">V116+W78</f>
        <v>32760</v>
      </c>
      <c r="X116" s="119">
        <f t="shared" ref="X116" si="399">W116+X78</f>
        <v>34580</v>
      </c>
      <c r="Y116" s="119">
        <f t="shared" ref="Y116" si="400">X116+Y78</f>
        <v>36400</v>
      </c>
      <c r="Z116" s="119">
        <f t="shared" ref="Z116" si="401">Y116+Z78</f>
        <v>38220</v>
      </c>
      <c r="AA116" s="119">
        <f t="shared" ref="AA116" si="402">Z116+AA78</f>
        <v>40040</v>
      </c>
      <c r="AB116" s="119">
        <f t="shared" ref="AB116" si="403">AA116+AB78</f>
        <v>41860</v>
      </c>
      <c r="AC116" s="119">
        <f t="shared" ref="AC116" si="404">AB116+AC78</f>
        <v>43680</v>
      </c>
      <c r="AD116" s="119">
        <f t="shared" ref="AD116" si="405">AC116+AD78</f>
        <v>45500</v>
      </c>
      <c r="AE116" s="119">
        <f t="shared" ref="AE116" si="406">AD116+AE78</f>
        <v>47320</v>
      </c>
      <c r="AF116" s="119">
        <f t="shared" ref="AF116" si="407">AE116+AF78</f>
        <v>49140</v>
      </c>
      <c r="AG116" s="119">
        <f t="shared" ref="AG116" si="408">AF116+AG78</f>
        <v>50960</v>
      </c>
      <c r="AH116" s="119">
        <f t="shared" ref="AH116" si="409">AG116+AH78</f>
        <v>52780</v>
      </c>
      <c r="AI116" s="119">
        <f t="shared" ref="AI116" si="410">AH116+AI78</f>
        <v>54600</v>
      </c>
      <c r="AJ116" s="119">
        <f t="shared" ref="AJ116" si="411">AI116+AJ78</f>
        <v>56420</v>
      </c>
      <c r="AK116" s="119">
        <f t="shared" ref="AK116" si="412">AJ116+AK78</f>
        <v>58240</v>
      </c>
      <c r="AL116" s="119">
        <f t="shared" ref="AL116" si="413">AK116+AL78</f>
        <v>60060</v>
      </c>
      <c r="AM116" s="119">
        <f t="shared" ref="AM116" si="414">AL116+AM78</f>
        <v>61880</v>
      </c>
      <c r="AN116" s="119">
        <f t="shared" ref="AN116" si="415">AM116+AN78</f>
        <v>63700</v>
      </c>
      <c r="AO116" s="119">
        <f t="shared" ref="AO116" si="416">AN116+AO78</f>
        <v>65520</v>
      </c>
      <c r="AP116" s="119">
        <f t="shared" ref="AP116" si="417">AO116+AP78</f>
        <v>67340</v>
      </c>
      <c r="AQ116" s="119">
        <f t="shared" ref="AQ116" si="418">AP116+AQ78</f>
        <v>69160</v>
      </c>
      <c r="AR116" s="119">
        <f t="shared" ref="AR116" si="419">AQ116+AR78</f>
        <v>70980</v>
      </c>
      <c r="AS116" s="119">
        <f t="shared" ref="AS116" si="420">AR116+AS78</f>
        <v>72800</v>
      </c>
      <c r="AT116" s="119">
        <f t="shared" ref="AT116" si="421">AS116+AT78</f>
        <v>74620</v>
      </c>
      <c r="AU116" s="119">
        <f t="shared" ref="AU116" si="422">AT116+AU78</f>
        <v>76440</v>
      </c>
      <c r="AV116" s="119">
        <f t="shared" ref="AV116" si="423">AU116+AV78</f>
        <v>78260</v>
      </c>
      <c r="AW116" s="119">
        <f t="shared" ref="AW116" si="424">AV116+AW78</f>
        <v>80080</v>
      </c>
      <c r="AX116" s="119">
        <f t="shared" ref="AX116" si="425">AW116+AX78</f>
        <v>81900</v>
      </c>
      <c r="AY116" s="119">
        <f t="shared" ref="AY116" si="426">AX116+AY78</f>
        <v>83720</v>
      </c>
      <c r="AZ116" s="119">
        <f t="shared" ref="AZ116" si="427">AY116+AZ78</f>
        <v>85540</v>
      </c>
      <c r="BA116" s="119">
        <f t="shared" ref="BA116" si="428">AZ116+BA78</f>
        <v>87360</v>
      </c>
      <c r="BB116" s="119">
        <f t="shared" ref="BB116" si="429">BA116+BB78</f>
        <v>89180</v>
      </c>
      <c r="BC116" s="119">
        <f t="shared" ref="BC116" si="430">BB116+BC78</f>
        <v>91000</v>
      </c>
      <c r="BD116" s="119">
        <f t="shared" ref="BD116" si="431">BC116+BD78</f>
        <v>92820</v>
      </c>
      <c r="BE116" s="119">
        <f t="shared" ref="BE116" si="432">BD116+BE78</f>
        <v>94640</v>
      </c>
      <c r="BF116" s="119">
        <f t="shared" ref="BF116" si="433">BE116+BF78</f>
        <v>96460</v>
      </c>
      <c r="BG116" s="119">
        <f t="shared" ref="BG116" si="434">BF116+BG78</f>
        <v>98280</v>
      </c>
      <c r="BH116" s="119">
        <f t="shared" ref="BH116" si="435">BG116+BH78</f>
        <v>100100</v>
      </c>
      <c r="BI116" s="119">
        <f t="shared" ref="BI116" si="436">BH116+BI78</f>
        <v>101920</v>
      </c>
      <c r="BJ116" s="119">
        <f t="shared" ref="BJ116" si="437">BI116+BJ78</f>
        <v>103740</v>
      </c>
    </row>
    <row r="117" spans="1:62" outlineLevel="1" x14ac:dyDescent="0.25">
      <c r="A117" s="18" t="s">
        <v>227</v>
      </c>
      <c r="B117" s="124">
        <f t="shared" si="339"/>
        <v>5520</v>
      </c>
      <c r="C117" s="119">
        <f>C81</f>
        <v>0</v>
      </c>
      <c r="D117" s="119">
        <f>C117+D81</f>
        <v>0</v>
      </c>
      <c r="E117" s="119">
        <f t="shared" ref="E117:N117" si="438">D117+E81</f>
        <v>0</v>
      </c>
      <c r="F117" s="119">
        <f t="shared" si="438"/>
        <v>0</v>
      </c>
      <c r="G117" s="119">
        <f t="shared" si="438"/>
        <v>0</v>
      </c>
      <c r="H117" s="119">
        <f t="shared" si="438"/>
        <v>0</v>
      </c>
      <c r="I117" s="119">
        <f t="shared" si="438"/>
        <v>0</v>
      </c>
      <c r="J117" s="119">
        <f t="shared" si="438"/>
        <v>3640</v>
      </c>
      <c r="K117" s="119">
        <f t="shared" si="438"/>
        <v>7280</v>
      </c>
      <c r="L117" s="119">
        <f t="shared" si="438"/>
        <v>10920</v>
      </c>
      <c r="M117" s="119">
        <f t="shared" si="438"/>
        <v>14560</v>
      </c>
      <c r="N117" s="119">
        <f t="shared" si="438"/>
        <v>18200</v>
      </c>
      <c r="O117" s="119">
        <f t="shared" ref="O117" si="439">N117+O81</f>
        <v>21840</v>
      </c>
      <c r="P117" s="119">
        <f t="shared" ref="P117" si="440">O117+P81</f>
        <v>25480</v>
      </c>
      <c r="Q117" s="119">
        <f t="shared" ref="Q117" si="441">P117+Q81</f>
        <v>29120</v>
      </c>
      <c r="R117" s="119">
        <f t="shared" ref="R117" si="442">Q117+R81</f>
        <v>32760</v>
      </c>
      <c r="S117" s="119">
        <f t="shared" ref="S117" si="443">R117+S81</f>
        <v>36400</v>
      </c>
      <c r="T117" s="119">
        <f t="shared" ref="T117" si="444">S117+T81</f>
        <v>40040</v>
      </c>
      <c r="U117" s="119">
        <f t="shared" ref="U117" si="445">T117+U81</f>
        <v>43680</v>
      </c>
      <c r="V117" s="119">
        <f t="shared" ref="V117" si="446">U117+V81</f>
        <v>47320</v>
      </c>
      <c r="W117" s="119">
        <f t="shared" ref="W117" si="447">V117+W81</f>
        <v>50960</v>
      </c>
      <c r="X117" s="119">
        <f t="shared" ref="X117" si="448">W117+X81</f>
        <v>54600</v>
      </c>
      <c r="Y117" s="119">
        <f t="shared" ref="Y117" si="449">X117+Y81</f>
        <v>58240</v>
      </c>
      <c r="Z117" s="119">
        <f t="shared" ref="Z117" si="450">Y117+Z81</f>
        <v>61880</v>
      </c>
      <c r="AA117" s="119">
        <f t="shared" ref="AA117" si="451">Z117+AA81</f>
        <v>65520</v>
      </c>
      <c r="AB117" s="119">
        <f t="shared" ref="AB117" si="452">AA117+AB81</f>
        <v>69160</v>
      </c>
      <c r="AC117" s="119">
        <f t="shared" ref="AC117" si="453">AB117+AC81</f>
        <v>72800</v>
      </c>
      <c r="AD117" s="119">
        <f t="shared" ref="AD117" si="454">AC117+AD81</f>
        <v>76440</v>
      </c>
      <c r="AE117" s="119">
        <f t="shared" ref="AE117" si="455">AD117+AE81</f>
        <v>80080</v>
      </c>
      <c r="AF117" s="119">
        <f t="shared" ref="AF117" si="456">AE117+AF81</f>
        <v>83720</v>
      </c>
      <c r="AG117" s="119">
        <f t="shared" ref="AG117" si="457">AF117+AG81</f>
        <v>87360</v>
      </c>
      <c r="AH117" s="119">
        <f t="shared" ref="AH117" si="458">AG117+AH81</f>
        <v>91000</v>
      </c>
      <c r="AI117" s="119">
        <f t="shared" ref="AI117" si="459">AH117+AI81</f>
        <v>94640</v>
      </c>
      <c r="AJ117" s="119">
        <f t="shared" ref="AJ117" si="460">AI117+AJ81</f>
        <v>98280</v>
      </c>
      <c r="AK117" s="119">
        <f t="shared" ref="AK117" si="461">AJ117+AK81</f>
        <v>101920</v>
      </c>
      <c r="AL117" s="119">
        <f t="shared" ref="AL117" si="462">AK117+AL81</f>
        <v>105560</v>
      </c>
      <c r="AM117" s="119">
        <f t="shared" ref="AM117" si="463">AL117+AM81</f>
        <v>109200</v>
      </c>
      <c r="AN117" s="119">
        <f t="shared" ref="AN117" si="464">AM117+AN81</f>
        <v>112840</v>
      </c>
      <c r="AO117" s="119">
        <f t="shared" ref="AO117" si="465">AN117+AO81</f>
        <v>116480</v>
      </c>
      <c r="AP117" s="119">
        <f t="shared" ref="AP117" si="466">AO117+AP81</f>
        <v>120120</v>
      </c>
      <c r="AQ117" s="119">
        <f t="shared" ref="AQ117" si="467">AP117+AQ81</f>
        <v>123760</v>
      </c>
      <c r="AR117" s="119">
        <f t="shared" ref="AR117" si="468">AQ117+AR81</f>
        <v>127400</v>
      </c>
      <c r="AS117" s="119">
        <f t="shared" ref="AS117" si="469">AR117+AS81</f>
        <v>131040</v>
      </c>
      <c r="AT117" s="119">
        <f t="shared" ref="AT117" si="470">AS117+AT81</f>
        <v>134680</v>
      </c>
      <c r="AU117" s="119">
        <f t="shared" ref="AU117" si="471">AT117+AU81</f>
        <v>138320</v>
      </c>
      <c r="AV117" s="119">
        <f t="shared" ref="AV117" si="472">AU117+AV81</f>
        <v>141960</v>
      </c>
      <c r="AW117" s="119">
        <f t="shared" ref="AW117" si="473">AV117+AW81</f>
        <v>145600</v>
      </c>
      <c r="AX117" s="119">
        <f t="shared" ref="AX117" si="474">AW117+AX81</f>
        <v>149240</v>
      </c>
      <c r="AY117" s="119">
        <f t="shared" ref="AY117" si="475">AX117+AY81</f>
        <v>152880</v>
      </c>
      <c r="AZ117" s="119">
        <f t="shared" ref="AZ117" si="476">AY117+AZ81</f>
        <v>156520</v>
      </c>
      <c r="BA117" s="119">
        <f t="shared" ref="BA117" si="477">AZ117+BA81</f>
        <v>160160</v>
      </c>
      <c r="BB117" s="119">
        <f t="shared" ref="BB117" si="478">BA117+BB81</f>
        <v>163800</v>
      </c>
      <c r="BC117" s="119">
        <f t="shared" ref="BC117" si="479">BB117+BC81</f>
        <v>167440</v>
      </c>
      <c r="BD117" s="119">
        <f t="shared" ref="BD117" si="480">BC117+BD81</f>
        <v>171080</v>
      </c>
      <c r="BE117" s="119">
        <f t="shared" ref="BE117" si="481">BD117+BE81</f>
        <v>174720</v>
      </c>
      <c r="BF117" s="119">
        <f t="shared" ref="BF117" si="482">BE117+BF81</f>
        <v>178360</v>
      </c>
      <c r="BG117" s="119">
        <f t="shared" ref="BG117" si="483">BF117+BG81</f>
        <v>182000</v>
      </c>
      <c r="BH117" s="119">
        <f t="shared" ref="BH117" si="484">BG117+BH81</f>
        <v>185640</v>
      </c>
      <c r="BI117" s="119">
        <f t="shared" ref="BI117" si="485">BH117+BI81</f>
        <v>189280</v>
      </c>
      <c r="BJ117" s="119">
        <f t="shared" ref="BJ117" si="486">BI117+BJ81</f>
        <v>192920</v>
      </c>
    </row>
    <row r="118" spans="1:62" outlineLevel="1" x14ac:dyDescent="0.25">
      <c r="A118" s="18" t="s">
        <v>230</v>
      </c>
      <c r="B118" s="124">
        <f t="shared" si="339"/>
        <v>4232</v>
      </c>
      <c r="C118" s="119">
        <f>C87</f>
        <v>0</v>
      </c>
      <c r="D118" s="119">
        <f>C118+D84</f>
        <v>0</v>
      </c>
      <c r="E118" s="119">
        <f t="shared" ref="E118:N118" si="487">D118+E84</f>
        <v>0</v>
      </c>
      <c r="F118" s="119">
        <f t="shared" si="487"/>
        <v>0</v>
      </c>
      <c r="G118" s="119">
        <f t="shared" si="487"/>
        <v>0</v>
      </c>
      <c r="H118" s="119">
        <f t="shared" si="487"/>
        <v>0</v>
      </c>
      <c r="I118" s="119">
        <f t="shared" si="487"/>
        <v>0</v>
      </c>
      <c r="J118" s="119">
        <f t="shared" si="487"/>
        <v>0</v>
      </c>
      <c r="K118" s="119">
        <f t="shared" si="487"/>
        <v>0</v>
      </c>
      <c r="L118" s="119">
        <f t="shared" si="487"/>
        <v>1950</v>
      </c>
      <c r="M118" s="119">
        <f t="shared" si="487"/>
        <v>3900</v>
      </c>
      <c r="N118" s="119">
        <f t="shared" si="487"/>
        <v>5850</v>
      </c>
      <c r="O118" s="119">
        <f t="shared" ref="O118" si="488">N118+O84</f>
        <v>7800</v>
      </c>
      <c r="P118" s="119">
        <f t="shared" ref="P118" si="489">O118+P84</f>
        <v>9750</v>
      </c>
      <c r="Q118" s="119">
        <f t="shared" ref="Q118" si="490">P118+Q84</f>
        <v>11700</v>
      </c>
      <c r="R118" s="119">
        <f t="shared" ref="R118" si="491">Q118+R84</f>
        <v>13650</v>
      </c>
      <c r="S118" s="119">
        <f t="shared" ref="S118" si="492">R118+S84</f>
        <v>15600</v>
      </c>
      <c r="T118" s="119">
        <f t="shared" ref="T118" si="493">S118+T84</f>
        <v>17550</v>
      </c>
      <c r="U118" s="119">
        <f t="shared" ref="U118" si="494">T118+U84</f>
        <v>19500</v>
      </c>
      <c r="V118" s="119">
        <f t="shared" ref="V118" si="495">U118+V84</f>
        <v>21450</v>
      </c>
      <c r="W118" s="119">
        <f t="shared" ref="W118" si="496">V118+W84</f>
        <v>23400</v>
      </c>
      <c r="X118" s="119">
        <f t="shared" ref="X118" si="497">W118+X84</f>
        <v>25350</v>
      </c>
      <c r="Y118" s="119">
        <f t="shared" ref="Y118" si="498">X118+Y84</f>
        <v>27300</v>
      </c>
      <c r="Z118" s="119">
        <f t="shared" ref="Z118" si="499">Y118+Z84</f>
        <v>29250</v>
      </c>
      <c r="AA118" s="119">
        <f t="shared" ref="AA118" si="500">Z118+AA84</f>
        <v>31200</v>
      </c>
      <c r="AB118" s="119">
        <f t="shared" ref="AB118" si="501">AA118+AB84</f>
        <v>33150</v>
      </c>
      <c r="AC118" s="119">
        <f t="shared" ref="AC118" si="502">AB118+AC84</f>
        <v>35100</v>
      </c>
      <c r="AD118" s="119">
        <f t="shared" ref="AD118" si="503">AC118+AD84</f>
        <v>37050</v>
      </c>
      <c r="AE118" s="119">
        <f t="shared" ref="AE118" si="504">AD118+AE84</f>
        <v>39000</v>
      </c>
      <c r="AF118" s="119">
        <f t="shared" ref="AF118" si="505">AE118+AF84</f>
        <v>40950</v>
      </c>
      <c r="AG118" s="119">
        <f t="shared" ref="AG118" si="506">AF118+AG84</f>
        <v>42900</v>
      </c>
      <c r="AH118" s="119">
        <f t="shared" ref="AH118" si="507">AG118+AH84</f>
        <v>44850</v>
      </c>
      <c r="AI118" s="119">
        <f t="shared" ref="AI118" si="508">AH118+AI84</f>
        <v>46800</v>
      </c>
      <c r="AJ118" s="119">
        <f t="shared" ref="AJ118" si="509">AI118+AJ84</f>
        <v>48750</v>
      </c>
      <c r="AK118" s="119">
        <f t="shared" ref="AK118" si="510">AJ118+AK84</f>
        <v>50700</v>
      </c>
      <c r="AL118" s="119">
        <f t="shared" ref="AL118" si="511">AK118+AL84</f>
        <v>52650</v>
      </c>
      <c r="AM118" s="119">
        <f t="shared" ref="AM118" si="512">AL118+AM84</f>
        <v>54600</v>
      </c>
      <c r="AN118" s="119">
        <f t="shared" ref="AN118" si="513">AM118+AN84</f>
        <v>56550</v>
      </c>
      <c r="AO118" s="119">
        <f t="shared" ref="AO118" si="514">AN118+AO84</f>
        <v>58500</v>
      </c>
      <c r="AP118" s="119">
        <f t="shared" ref="AP118" si="515">AO118+AP84</f>
        <v>60450</v>
      </c>
      <c r="AQ118" s="119">
        <f t="shared" ref="AQ118" si="516">AP118+AQ84</f>
        <v>62400</v>
      </c>
      <c r="AR118" s="119">
        <f t="shared" ref="AR118" si="517">AQ118+AR84</f>
        <v>64350</v>
      </c>
      <c r="AS118" s="119">
        <f t="shared" ref="AS118" si="518">AR118+AS84</f>
        <v>66300</v>
      </c>
      <c r="AT118" s="119">
        <f t="shared" ref="AT118" si="519">AS118+AT84</f>
        <v>68250</v>
      </c>
      <c r="AU118" s="119">
        <f t="shared" ref="AU118" si="520">AT118+AU84</f>
        <v>70200</v>
      </c>
      <c r="AV118" s="119">
        <f t="shared" ref="AV118" si="521">AU118+AV84</f>
        <v>72150</v>
      </c>
      <c r="AW118" s="119">
        <f t="shared" ref="AW118" si="522">AV118+AW84</f>
        <v>74100</v>
      </c>
      <c r="AX118" s="119">
        <f t="shared" ref="AX118" si="523">AW118+AX84</f>
        <v>76050</v>
      </c>
      <c r="AY118" s="119">
        <f t="shared" ref="AY118" si="524">AX118+AY84</f>
        <v>78000</v>
      </c>
      <c r="AZ118" s="119">
        <f t="shared" ref="AZ118" si="525">AY118+AZ84</f>
        <v>79950</v>
      </c>
      <c r="BA118" s="119">
        <f t="shared" ref="BA118" si="526">AZ118+BA84</f>
        <v>81900</v>
      </c>
      <c r="BB118" s="119">
        <f t="shared" ref="BB118" si="527">BA118+BB84</f>
        <v>83850</v>
      </c>
      <c r="BC118" s="119">
        <f t="shared" ref="BC118" si="528">BB118+BC84</f>
        <v>85800</v>
      </c>
      <c r="BD118" s="119">
        <f t="shared" ref="BD118" si="529">BC118+BD84</f>
        <v>87750</v>
      </c>
      <c r="BE118" s="119">
        <f t="shared" ref="BE118" si="530">BD118+BE84</f>
        <v>89700</v>
      </c>
      <c r="BF118" s="119">
        <f t="shared" ref="BF118" si="531">BE118+BF84</f>
        <v>91650</v>
      </c>
      <c r="BG118" s="119">
        <f t="shared" ref="BG118" si="532">BF118+BG84</f>
        <v>93600</v>
      </c>
      <c r="BH118" s="119">
        <f t="shared" ref="BH118" si="533">BG118+BH84</f>
        <v>95550</v>
      </c>
      <c r="BI118" s="119">
        <f t="shared" ref="BI118" si="534">BH118+BI84</f>
        <v>97500</v>
      </c>
      <c r="BJ118" s="119">
        <f t="shared" ref="BJ118" si="535">BI118+BJ84</f>
        <v>99450</v>
      </c>
    </row>
    <row r="119" spans="1:62" outlineLevel="1" x14ac:dyDescent="0.25">
      <c r="A119" s="18" t="s">
        <v>230</v>
      </c>
      <c r="B119" s="124">
        <f t="shared" si="339"/>
        <v>4232</v>
      </c>
      <c r="C119" s="119">
        <f>C87</f>
        <v>0</v>
      </c>
      <c r="D119" s="119">
        <f>C119+D87</f>
        <v>0</v>
      </c>
      <c r="E119" s="119">
        <f t="shared" ref="E119:N119" si="536">D119+E87</f>
        <v>0</v>
      </c>
      <c r="F119" s="119">
        <f t="shared" si="536"/>
        <v>0</v>
      </c>
      <c r="G119" s="119">
        <f t="shared" si="536"/>
        <v>0</v>
      </c>
      <c r="H119" s="119">
        <f t="shared" si="536"/>
        <v>0</v>
      </c>
      <c r="I119" s="119">
        <f t="shared" si="536"/>
        <v>0</v>
      </c>
      <c r="J119" s="119">
        <f t="shared" si="536"/>
        <v>0</v>
      </c>
      <c r="K119" s="119">
        <f t="shared" si="536"/>
        <v>0</v>
      </c>
      <c r="L119" s="119">
        <f t="shared" si="536"/>
        <v>0</v>
      </c>
      <c r="M119" s="119">
        <f t="shared" si="536"/>
        <v>1950</v>
      </c>
      <c r="N119" s="119">
        <f t="shared" si="536"/>
        <v>3900</v>
      </c>
      <c r="O119" s="119">
        <f t="shared" ref="O119" si="537">N119+O87</f>
        <v>5850</v>
      </c>
      <c r="P119" s="119">
        <f t="shared" ref="P119" si="538">O119+P87</f>
        <v>7800</v>
      </c>
      <c r="Q119" s="119">
        <f t="shared" ref="Q119" si="539">P119+Q87</f>
        <v>9750</v>
      </c>
      <c r="R119" s="119">
        <f t="shared" ref="R119" si="540">Q119+R87</f>
        <v>11700</v>
      </c>
      <c r="S119" s="119">
        <f t="shared" ref="S119" si="541">R119+S87</f>
        <v>13650</v>
      </c>
      <c r="T119" s="119">
        <f t="shared" ref="T119" si="542">S119+T87</f>
        <v>15600</v>
      </c>
      <c r="U119" s="119">
        <f t="shared" ref="U119" si="543">T119+U87</f>
        <v>17550</v>
      </c>
      <c r="V119" s="119">
        <f t="shared" ref="V119" si="544">U119+V87</f>
        <v>19500</v>
      </c>
      <c r="W119" s="119">
        <f t="shared" ref="W119" si="545">V119+W87</f>
        <v>21450</v>
      </c>
      <c r="X119" s="119">
        <f t="shared" ref="X119" si="546">W119+X87</f>
        <v>23400</v>
      </c>
      <c r="Y119" s="119">
        <f t="shared" ref="Y119" si="547">X119+Y87</f>
        <v>25350</v>
      </c>
      <c r="Z119" s="119">
        <f t="shared" ref="Z119" si="548">Y119+Z87</f>
        <v>27300</v>
      </c>
      <c r="AA119" s="119">
        <f t="shared" ref="AA119" si="549">Z119+AA87</f>
        <v>29250</v>
      </c>
      <c r="AB119" s="119">
        <f t="shared" ref="AB119" si="550">AA119+AB87</f>
        <v>31200</v>
      </c>
      <c r="AC119" s="119">
        <f t="shared" ref="AC119" si="551">AB119+AC87</f>
        <v>33150</v>
      </c>
      <c r="AD119" s="119">
        <f t="shared" ref="AD119" si="552">AC119+AD87</f>
        <v>35100</v>
      </c>
      <c r="AE119" s="119">
        <f t="shared" ref="AE119" si="553">AD119+AE87</f>
        <v>37050</v>
      </c>
      <c r="AF119" s="119">
        <f t="shared" ref="AF119" si="554">AE119+AF87</f>
        <v>39000</v>
      </c>
      <c r="AG119" s="119">
        <f t="shared" ref="AG119" si="555">AF119+AG87</f>
        <v>40950</v>
      </c>
      <c r="AH119" s="119">
        <f t="shared" ref="AH119" si="556">AG119+AH87</f>
        <v>42900</v>
      </c>
      <c r="AI119" s="119">
        <f t="shared" ref="AI119" si="557">AH119+AI87</f>
        <v>44850</v>
      </c>
      <c r="AJ119" s="119">
        <f t="shared" ref="AJ119" si="558">AI119+AJ87</f>
        <v>46800</v>
      </c>
      <c r="AK119" s="119">
        <f t="shared" ref="AK119" si="559">AJ119+AK87</f>
        <v>48750</v>
      </c>
      <c r="AL119" s="119">
        <f t="shared" ref="AL119" si="560">AK119+AL87</f>
        <v>50700</v>
      </c>
      <c r="AM119" s="119">
        <f t="shared" ref="AM119" si="561">AL119+AM87</f>
        <v>52650</v>
      </c>
      <c r="AN119" s="119">
        <f t="shared" ref="AN119" si="562">AM119+AN87</f>
        <v>54600</v>
      </c>
      <c r="AO119" s="119">
        <f t="shared" ref="AO119" si="563">AN119+AO87</f>
        <v>56550</v>
      </c>
      <c r="AP119" s="119">
        <f t="shared" ref="AP119" si="564">AO119+AP87</f>
        <v>58500</v>
      </c>
      <c r="AQ119" s="119">
        <f t="shared" ref="AQ119" si="565">AP119+AQ87</f>
        <v>60450</v>
      </c>
      <c r="AR119" s="119">
        <f t="shared" ref="AR119" si="566">AQ119+AR87</f>
        <v>62400</v>
      </c>
      <c r="AS119" s="119">
        <f t="shared" ref="AS119" si="567">AR119+AS87</f>
        <v>64350</v>
      </c>
      <c r="AT119" s="119">
        <f t="shared" ref="AT119" si="568">AS119+AT87</f>
        <v>66300</v>
      </c>
      <c r="AU119" s="119">
        <f t="shared" ref="AU119" si="569">AT119+AU87</f>
        <v>68250</v>
      </c>
      <c r="AV119" s="119">
        <f t="shared" ref="AV119" si="570">AU119+AV87</f>
        <v>70200</v>
      </c>
      <c r="AW119" s="119">
        <f t="shared" ref="AW119" si="571">AV119+AW87</f>
        <v>72150</v>
      </c>
      <c r="AX119" s="119">
        <f t="shared" ref="AX119" si="572">AW119+AX87</f>
        <v>74100</v>
      </c>
      <c r="AY119" s="119">
        <f t="shared" ref="AY119" si="573">AX119+AY87</f>
        <v>76050</v>
      </c>
      <c r="AZ119" s="119">
        <f t="shared" ref="AZ119" si="574">AY119+AZ87</f>
        <v>78000</v>
      </c>
      <c r="BA119" s="119">
        <f t="shared" ref="BA119" si="575">AZ119+BA87</f>
        <v>79950</v>
      </c>
      <c r="BB119" s="119">
        <f t="shared" ref="BB119" si="576">BA119+BB87</f>
        <v>81900</v>
      </c>
      <c r="BC119" s="119">
        <f t="shared" ref="BC119" si="577">BB119+BC87</f>
        <v>83850</v>
      </c>
      <c r="BD119" s="119">
        <f t="shared" ref="BD119" si="578">BC119+BD87</f>
        <v>85800</v>
      </c>
      <c r="BE119" s="119">
        <f t="shared" ref="BE119" si="579">BD119+BE87</f>
        <v>87750</v>
      </c>
      <c r="BF119" s="119">
        <f t="shared" ref="BF119" si="580">BE119+BF87</f>
        <v>89700</v>
      </c>
      <c r="BG119" s="119">
        <f t="shared" ref="BG119" si="581">BF119+BG87</f>
        <v>91650</v>
      </c>
      <c r="BH119" s="119">
        <f t="shared" ref="BH119" si="582">BG119+BH87</f>
        <v>93600</v>
      </c>
      <c r="BI119" s="119">
        <f t="shared" ref="BI119" si="583">BH119+BI87</f>
        <v>95550</v>
      </c>
      <c r="BJ119" s="119">
        <f t="shared" ref="BJ119" si="584">BI119+BJ87</f>
        <v>97500</v>
      </c>
    </row>
    <row r="120" spans="1:62" outlineLevel="1" x14ac:dyDescent="0.25">
      <c r="A120" s="18" t="s">
        <v>230</v>
      </c>
      <c r="B120" s="124">
        <f t="shared" si="339"/>
        <v>4232</v>
      </c>
      <c r="C120" s="119">
        <f>C90</f>
        <v>0</v>
      </c>
      <c r="D120" s="119">
        <f>C120+D90</f>
        <v>0</v>
      </c>
      <c r="E120" s="119">
        <f t="shared" ref="E120:N120" si="585">D120+E90</f>
        <v>0</v>
      </c>
      <c r="F120" s="119">
        <f t="shared" si="585"/>
        <v>0</v>
      </c>
      <c r="G120" s="119">
        <f t="shared" si="585"/>
        <v>0</v>
      </c>
      <c r="H120" s="119">
        <f t="shared" si="585"/>
        <v>0</v>
      </c>
      <c r="I120" s="119">
        <f t="shared" si="585"/>
        <v>0</v>
      </c>
      <c r="J120" s="119">
        <f t="shared" si="585"/>
        <v>0</v>
      </c>
      <c r="K120" s="119">
        <f t="shared" si="585"/>
        <v>0</v>
      </c>
      <c r="L120" s="119">
        <f t="shared" si="585"/>
        <v>0</v>
      </c>
      <c r="M120" s="119">
        <f t="shared" si="585"/>
        <v>0</v>
      </c>
      <c r="N120" s="119">
        <f t="shared" si="585"/>
        <v>1950</v>
      </c>
      <c r="O120" s="119">
        <f t="shared" ref="O120" si="586">N120+O90</f>
        <v>3939</v>
      </c>
      <c r="P120" s="119">
        <f t="shared" ref="P120" si="587">O120+P90</f>
        <v>5967.78</v>
      </c>
      <c r="Q120" s="119">
        <f t="shared" ref="Q120" si="588">P120+Q90</f>
        <v>8037.1355999999996</v>
      </c>
      <c r="R120" s="119">
        <f t="shared" ref="R120" si="589">Q120+R90</f>
        <v>10147.878312000001</v>
      </c>
      <c r="S120" s="119">
        <f t="shared" ref="S120" si="590">R120+S90</f>
        <v>12300.835878240001</v>
      </c>
      <c r="T120" s="119">
        <f t="shared" ref="T120" si="591">S120+T90</f>
        <v>14496.852595804801</v>
      </c>
      <c r="U120" s="119">
        <f t="shared" ref="U120" si="592">T120+U90</f>
        <v>16736.789647720896</v>
      </c>
      <c r="V120" s="119">
        <f t="shared" ref="V120" si="593">U120+V90</f>
        <v>19021.525440675316</v>
      </c>
      <c r="W120" s="119">
        <f t="shared" ref="W120" si="594">V120+W90</f>
        <v>21351.955949488824</v>
      </c>
      <c r="X120" s="119">
        <f t="shared" ref="X120" si="595">W120+X90</f>
        <v>23728.995068478602</v>
      </c>
      <c r="Y120" s="119">
        <f t="shared" ref="Y120" si="596">X120+Y90</f>
        <v>26153.574969848174</v>
      </c>
      <c r="Z120" s="119">
        <f t="shared" ref="Z120" si="597">Y120+Z90</f>
        <v>28626.646469245137</v>
      </c>
      <c r="AA120" s="119">
        <f t="shared" ref="AA120" si="598">Z120+AA90</f>
        <v>31149.17939863004</v>
      </c>
      <c r="AB120" s="119">
        <f t="shared" ref="AB120" si="599">AA120+AB90</f>
        <v>33722.162986602641</v>
      </c>
      <c r="AC120" s="119">
        <f t="shared" ref="AC120" si="600">AB120+AC90</f>
        <v>36346.606246334697</v>
      </c>
      <c r="AD120" s="119">
        <f t="shared" ref="AD120" si="601">AC120+AD90</f>
        <v>39023.538371261391</v>
      </c>
      <c r="AE120" s="119">
        <f t="shared" ref="AE120" si="602">AD120+AE90</f>
        <v>41754.009138686619</v>
      </c>
      <c r="AF120" s="119">
        <f t="shared" ref="AF120" si="603">AE120+AF90</f>
        <v>44539.089321460349</v>
      </c>
      <c r="AG120" s="119">
        <f t="shared" ref="AG120" si="604">AF120+AG90</f>
        <v>47379.871107889558</v>
      </c>
      <c r="AH120" s="119">
        <f t="shared" ref="AH120" si="605">AG120+AH90</f>
        <v>50277.46853004735</v>
      </c>
      <c r="AI120" s="119">
        <f t="shared" ref="AI120" si="606">AH120+AI90</f>
        <v>53233.017900648294</v>
      </c>
      <c r="AJ120" s="119">
        <f t="shared" ref="AJ120" si="607">AI120+AJ90</f>
        <v>56247.678258661261</v>
      </c>
      <c r="AK120" s="119">
        <f t="shared" ref="AK120" si="608">AJ120+AK90</f>
        <v>59322.63182383449</v>
      </c>
      <c r="AL120" s="119">
        <f t="shared" ref="AL120" si="609">AK120+AL90</f>
        <v>62459.084460311184</v>
      </c>
      <c r="AM120" s="119">
        <f t="shared" ref="AM120" si="610">AL120+AM90</f>
        <v>65658.266149517411</v>
      </c>
      <c r="AN120" s="119">
        <f t="shared" ref="AN120" si="611">AM120+AN90</f>
        <v>68921.431472507757</v>
      </c>
      <c r="AO120" s="119">
        <f t="shared" ref="AO120" si="612">AN120+AO90</f>
        <v>72249.860101957907</v>
      </c>
      <c r="AP120" s="119">
        <f t="shared" ref="AP120" si="613">AO120+AP90</f>
        <v>75644.857303997065</v>
      </c>
      <c r="AQ120" s="119">
        <f t="shared" ref="AQ120" si="614">AP120+AQ90</f>
        <v>79107.754450077002</v>
      </c>
      <c r="AR120" s="119">
        <f t="shared" ref="AR120" si="615">AQ120+AR90</f>
        <v>82639.909539078537</v>
      </c>
      <c r="AS120" s="119">
        <f t="shared" ref="AS120" si="616">AR120+AS90</f>
        <v>86242.707729860107</v>
      </c>
      <c r="AT120" s="119">
        <f t="shared" ref="AT120" si="617">AS120+AT90</f>
        <v>89917.561884457318</v>
      </c>
      <c r="AU120" s="119">
        <f t="shared" ref="AU120" si="618">AT120+AU90</f>
        <v>93665.913122146463</v>
      </c>
      <c r="AV120" s="119">
        <f t="shared" ref="AV120" si="619">AU120+AV90</f>
        <v>97489.231384589395</v>
      </c>
      <c r="AW120" s="119">
        <f t="shared" ref="AW120" si="620">AV120+AW90</f>
        <v>101389.01601228118</v>
      </c>
      <c r="AX120" s="119">
        <f t="shared" ref="AX120" si="621">AW120+AX90</f>
        <v>105366.79633252681</v>
      </c>
      <c r="AY120" s="119">
        <f t="shared" ref="AY120" si="622">AX120+AY90</f>
        <v>109424.13225917735</v>
      </c>
      <c r="AZ120" s="119">
        <f t="shared" ref="AZ120" si="623">AY120+AZ90</f>
        <v>113562.6149043609</v>
      </c>
      <c r="BA120" s="119">
        <f t="shared" ref="BA120" si="624">AZ120+BA90</f>
        <v>117783.86720244812</v>
      </c>
      <c r="BB120" s="119">
        <f t="shared" ref="BB120" si="625">BA120+BB90</f>
        <v>122089.54454649708</v>
      </c>
      <c r="BC120" s="119">
        <f t="shared" ref="BC120" si="626">BB120+BC90</f>
        <v>126481.33543742703</v>
      </c>
      <c r="BD120" s="119">
        <f t="shared" ref="BD120" si="627">BC120+BD90</f>
        <v>130960.96214617557</v>
      </c>
      <c r="BE120" s="119">
        <f t="shared" ref="BE120" si="628">BD120+BE90</f>
        <v>135530.1813890991</v>
      </c>
      <c r="BF120" s="119">
        <f t="shared" ref="BF120" si="629">BE120+BF90</f>
        <v>140190.7850168811</v>
      </c>
      <c r="BG120" s="119">
        <f t="shared" ref="BG120" si="630">BF120+BG90</f>
        <v>144944.60071721871</v>
      </c>
      <c r="BH120" s="119">
        <f t="shared" ref="BH120" si="631">BG120+BH90</f>
        <v>149793.49273156308</v>
      </c>
      <c r="BI120" s="119">
        <f t="shared" ref="BI120" si="632">BH120+BI90</f>
        <v>154739.36258619433</v>
      </c>
      <c r="BJ120" s="119">
        <f t="shared" ref="BJ120" si="633">BI120+BJ90</f>
        <v>159784.14983791823</v>
      </c>
    </row>
    <row r="121" spans="1:62" outlineLevel="1" x14ac:dyDescent="0.25">
      <c r="A121" s="18" t="s">
        <v>231</v>
      </c>
      <c r="B121" s="124">
        <f t="shared" si="339"/>
        <v>3128</v>
      </c>
      <c r="C121" s="119">
        <f>C93</f>
        <v>0</v>
      </c>
      <c r="D121" s="119">
        <f>C121+D93</f>
        <v>0</v>
      </c>
      <c r="E121" s="119">
        <f t="shared" ref="E121:N121" si="634">D121+E93</f>
        <v>0</v>
      </c>
      <c r="F121" s="119">
        <f t="shared" si="634"/>
        <v>0</v>
      </c>
      <c r="G121" s="119">
        <f t="shared" si="634"/>
        <v>0</v>
      </c>
      <c r="H121" s="119">
        <f t="shared" si="634"/>
        <v>0</v>
      </c>
      <c r="I121" s="119">
        <f t="shared" si="634"/>
        <v>0</v>
      </c>
      <c r="J121" s="119">
        <f t="shared" si="634"/>
        <v>0</v>
      </c>
      <c r="K121" s="119">
        <f t="shared" si="634"/>
        <v>757.49999999999989</v>
      </c>
      <c r="L121" s="119">
        <f t="shared" si="634"/>
        <v>1514.9999999999998</v>
      </c>
      <c r="M121" s="119">
        <f t="shared" si="634"/>
        <v>2272.4999999999995</v>
      </c>
      <c r="N121" s="119">
        <f t="shared" si="634"/>
        <v>3029.9999999999995</v>
      </c>
      <c r="O121" s="119">
        <f t="shared" ref="O121" si="635">N121+O93</f>
        <v>3787.4999999999995</v>
      </c>
      <c r="P121" s="119">
        <f t="shared" ref="P121" si="636">O121+P93</f>
        <v>4544.9999999999991</v>
      </c>
      <c r="Q121" s="119">
        <f t="shared" ref="Q121" si="637">P121+Q93</f>
        <v>5302.4999999999991</v>
      </c>
      <c r="R121" s="119">
        <f t="shared" ref="R121" si="638">Q121+R93</f>
        <v>6059.9999999999991</v>
      </c>
      <c r="S121" s="119">
        <f t="shared" ref="S121" si="639">R121+S93</f>
        <v>6817.4999999999991</v>
      </c>
      <c r="T121" s="119">
        <f t="shared" ref="T121" si="640">S121+T93</f>
        <v>7574.9999999999991</v>
      </c>
      <c r="U121" s="119">
        <f t="shared" ref="U121" si="641">T121+U93</f>
        <v>8332.4999999999982</v>
      </c>
      <c r="V121" s="119">
        <f t="shared" ref="V121" si="642">U121+V93</f>
        <v>9089.9999999999982</v>
      </c>
      <c r="W121" s="119">
        <f t="shared" ref="W121" si="643">V121+W93</f>
        <v>9847.4999999999982</v>
      </c>
      <c r="X121" s="119">
        <f t="shared" ref="X121" si="644">W121+X93</f>
        <v>10604.999999999998</v>
      </c>
      <c r="Y121" s="119">
        <f t="shared" ref="Y121" si="645">X121+Y93</f>
        <v>11362.499999999998</v>
      </c>
      <c r="Z121" s="119">
        <f t="shared" ref="Z121" si="646">Y121+Z93</f>
        <v>12119.999999999998</v>
      </c>
      <c r="AA121" s="119">
        <f t="shared" ref="AA121" si="647">Z121+AA93</f>
        <v>12877.499999999998</v>
      </c>
      <c r="AB121" s="119">
        <f t="shared" ref="AB121" si="648">AA121+AB93</f>
        <v>13634.999999999998</v>
      </c>
      <c r="AC121" s="119">
        <f t="shared" ref="AC121" si="649">AB121+AC93</f>
        <v>14392.499999999998</v>
      </c>
      <c r="AD121" s="119">
        <f t="shared" ref="AD121" si="650">AC121+AD93</f>
        <v>15149.999999999998</v>
      </c>
      <c r="AE121" s="119">
        <f t="shared" ref="AE121" si="651">AD121+AE93</f>
        <v>15907.499999999998</v>
      </c>
      <c r="AF121" s="119">
        <f t="shared" ref="AF121" si="652">AE121+AF93</f>
        <v>16664.999999999996</v>
      </c>
      <c r="AG121" s="119">
        <f t="shared" ref="AG121" si="653">AF121+AG93</f>
        <v>17422.499999999996</v>
      </c>
      <c r="AH121" s="119">
        <f t="shared" ref="AH121" si="654">AG121+AH93</f>
        <v>18179.999999999996</v>
      </c>
      <c r="AI121" s="119">
        <f t="shared" ref="AI121" si="655">AH121+AI93</f>
        <v>18937.499999999996</v>
      </c>
      <c r="AJ121" s="119">
        <f t="shared" ref="AJ121" si="656">AI121+AJ93</f>
        <v>19694.999999999996</v>
      </c>
      <c r="AK121" s="119">
        <f t="shared" ref="AK121" si="657">AJ121+AK93</f>
        <v>20452.499999999996</v>
      </c>
      <c r="AL121" s="119">
        <f t="shared" ref="AL121" si="658">AK121+AL93</f>
        <v>21209.999999999996</v>
      </c>
      <c r="AM121" s="119">
        <f t="shared" ref="AM121" si="659">AL121+AM93</f>
        <v>21967.499999999996</v>
      </c>
      <c r="AN121" s="119">
        <f t="shared" ref="AN121" si="660">AM121+AN93</f>
        <v>22724.999999999996</v>
      </c>
      <c r="AO121" s="119">
        <f t="shared" ref="AO121" si="661">AN121+AO93</f>
        <v>23482.499999999996</v>
      </c>
      <c r="AP121" s="119">
        <f t="shared" ref="AP121" si="662">AO121+AP93</f>
        <v>24239.999999999996</v>
      </c>
      <c r="AQ121" s="119">
        <f t="shared" ref="AQ121" si="663">AP121+AQ93</f>
        <v>24997.499999999996</v>
      </c>
      <c r="AR121" s="119">
        <f t="shared" ref="AR121" si="664">AQ121+AR93</f>
        <v>25754.999999999996</v>
      </c>
      <c r="AS121" s="119">
        <f t="shared" ref="AS121" si="665">AR121+AS93</f>
        <v>26512.499999999996</v>
      </c>
      <c r="AT121" s="119">
        <f t="shared" ref="AT121" si="666">AS121+AT93</f>
        <v>27269.999999999996</v>
      </c>
      <c r="AU121" s="119">
        <f t="shared" ref="AU121" si="667">AT121+AU93</f>
        <v>28027.499999999996</v>
      </c>
      <c r="AV121" s="119">
        <f t="shared" ref="AV121" si="668">AU121+AV93</f>
        <v>28784.999999999996</v>
      </c>
      <c r="AW121" s="119">
        <f t="shared" ref="AW121" si="669">AV121+AW93</f>
        <v>29542.499999999996</v>
      </c>
      <c r="AX121" s="119">
        <f t="shared" ref="AX121" si="670">AW121+AX93</f>
        <v>30299.999999999996</v>
      </c>
      <c r="AY121" s="119">
        <f t="shared" ref="AY121" si="671">AX121+AY93</f>
        <v>31057.499999999996</v>
      </c>
      <c r="AZ121" s="119">
        <f t="shared" ref="AZ121" si="672">AY121+AZ93</f>
        <v>31814.999999999996</v>
      </c>
      <c r="BA121" s="119">
        <f t="shared" ref="BA121" si="673">AZ121+BA93</f>
        <v>32572.499999999996</v>
      </c>
      <c r="BB121" s="119">
        <f t="shared" ref="BB121" si="674">BA121+BB93</f>
        <v>33329.999999999993</v>
      </c>
      <c r="BC121" s="119">
        <f t="shared" ref="BC121" si="675">BB121+BC93</f>
        <v>34087.499999999993</v>
      </c>
      <c r="BD121" s="119">
        <f t="shared" ref="BD121" si="676">BC121+BD93</f>
        <v>34844.999999999993</v>
      </c>
      <c r="BE121" s="119">
        <f t="shared" ref="BE121" si="677">BD121+BE93</f>
        <v>35602.499999999993</v>
      </c>
      <c r="BF121" s="119">
        <f t="shared" ref="BF121" si="678">BE121+BF93</f>
        <v>36359.999999999993</v>
      </c>
      <c r="BG121" s="119">
        <f t="shared" ref="BG121" si="679">BF121+BG93</f>
        <v>37117.499999999993</v>
      </c>
      <c r="BH121" s="119">
        <f t="shared" ref="BH121" si="680">BG121+BH93</f>
        <v>37874.999999999993</v>
      </c>
      <c r="BI121" s="119">
        <f t="shared" ref="BI121" si="681">BH121+BI93</f>
        <v>38632.499999999993</v>
      </c>
      <c r="BJ121" s="119">
        <f t="shared" ref="BJ121" si="682">BI121+BJ93</f>
        <v>39389.999999999993</v>
      </c>
    </row>
    <row r="122" spans="1:62" outlineLevel="1" x14ac:dyDescent="0.25">
      <c r="A122" s="18" t="s">
        <v>231</v>
      </c>
      <c r="B122" s="124">
        <f t="shared" si="339"/>
        <v>3128</v>
      </c>
      <c r="C122" s="119">
        <f>C96</f>
        <v>0</v>
      </c>
      <c r="D122" s="119">
        <f>C122+D96</f>
        <v>0</v>
      </c>
      <c r="E122" s="119">
        <f t="shared" ref="E122:N122" si="683">D122+E96</f>
        <v>0</v>
      </c>
      <c r="F122" s="119">
        <f t="shared" si="683"/>
        <v>0</v>
      </c>
      <c r="G122" s="119">
        <f t="shared" si="683"/>
        <v>0</v>
      </c>
      <c r="H122" s="119">
        <f t="shared" si="683"/>
        <v>0</v>
      </c>
      <c r="I122" s="119">
        <f t="shared" si="683"/>
        <v>0</v>
      </c>
      <c r="J122" s="119">
        <f t="shared" si="683"/>
        <v>0</v>
      </c>
      <c r="K122" s="119">
        <f t="shared" si="683"/>
        <v>0</v>
      </c>
      <c r="L122" s="119">
        <f t="shared" si="683"/>
        <v>757.49999999999989</v>
      </c>
      <c r="M122" s="119">
        <f t="shared" si="683"/>
        <v>1514.9999999999998</v>
      </c>
      <c r="N122" s="119">
        <f t="shared" si="683"/>
        <v>2272.4999999999995</v>
      </c>
      <c r="O122" s="119">
        <f t="shared" ref="O122" si="684">N122+O96</f>
        <v>3029.9999999999995</v>
      </c>
      <c r="P122" s="119">
        <f t="shared" ref="P122" si="685">O122+P96</f>
        <v>3787.4999999999995</v>
      </c>
      <c r="Q122" s="119">
        <f t="shared" ref="Q122" si="686">P122+Q96</f>
        <v>4544.9999999999991</v>
      </c>
      <c r="R122" s="119">
        <f t="shared" ref="R122" si="687">Q122+R96</f>
        <v>5302.4999999999991</v>
      </c>
      <c r="S122" s="119">
        <f t="shared" ref="S122" si="688">R122+S96</f>
        <v>6059.9999999999991</v>
      </c>
      <c r="T122" s="119">
        <f t="shared" ref="T122" si="689">S122+T96</f>
        <v>6817.4999999999991</v>
      </c>
      <c r="U122" s="119">
        <f t="shared" ref="U122" si="690">T122+U96</f>
        <v>7574.9999999999991</v>
      </c>
      <c r="V122" s="119">
        <f t="shared" ref="V122" si="691">U122+V96</f>
        <v>8332.4999999999982</v>
      </c>
      <c r="W122" s="119">
        <f t="shared" ref="W122" si="692">V122+W96</f>
        <v>9089.9999999999982</v>
      </c>
      <c r="X122" s="119">
        <f t="shared" ref="X122" si="693">W122+X96</f>
        <v>9847.4999999999982</v>
      </c>
      <c r="Y122" s="119">
        <f t="shared" ref="Y122" si="694">X122+Y96</f>
        <v>10604.999999999998</v>
      </c>
      <c r="Z122" s="119">
        <f t="shared" ref="Z122" si="695">Y122+Z96</f>
        <v>11362.499999999998</v>
      </c>
      <c r="AA122" s="119">
        <f t="shared" ref="AA122" si="696">Z122+AA96</f>
        <v>12119.999999999998</v>
      </c>
      <c r="AB122" s="119">
        <f t="shared" ref="AB122" si="697">AA122+AB96</f>
        <v>12877.499999999998</v>
      </c>
      <c r="AC122" s="119">
        <f t="shared" ref="AC122" si="698">AB122+AC96</f>
        <v>13634.999999999998</v>
      </c>
      <c r="AD122" s="119">
        <f t="shared" ref="AD122" si="699">AC122+AD96</f>
        <v>14392.499999999998</v>
      </c>
      <c r="AE122" s="119">
        <f t="shared" ref="AE122" si="700">AD122+AE96</f>
        <v>15149.999999999998</v>
      </c>
      <c r="AF122" s="119">
        <f t="shared" ref="AF122" si="701">AE122+AF96</f>
        <v>15907.499999999998</v>
      </c>
      <c r="AG122" s="119">
        <f t="shared" ref="AG122" si="702">AF122+AG96</f>
        <v>16664.999999999996</v>
      </c>
      <c r="AH122" s="119">
        <f t="shared" ref="AH122" si="703">AG122+AH96</f>
        <v>17422.499999999996</v>
      </c>
      <c r="AI122" s="119">
        <f t="shared" ref="AI122" si="704">AH122+AI96</f>
        <v>18179.999999999996</v>
      </c>
      <c r="AJ122" s="119">
        <f t="shared" ref="AJ122" si="705">AI122+AJ96</f>
        <v>18937.499999999996</v>
      </c>
      <c r="AK122" s="119">
        <f t="shared" ref="AK122" si="706">AJ122+AK96</f>
        <v>19694.999999999996</v>
      </c>
      <c r="AL122" s="119">
        <f t="shared" ref="AL122" si="707">AK122+AL96</f>
        <v>20452.499999999996</v>
      </c>
      <c r="AM122" s="119">
        <f t="shared" ref="AM122" si="708">AL122+AM96</f>
        <v>21209.999999999996</v>
      </c>
      <c r="AN122" s="119">
        <f t="shared" ref="AN122" si="709">AM122+AN96</f>
        <v>21967.499999999996</v>
      </c>
      <c r="AO122" s="119">
        <f t="shared" ref="AO122" si="710">AN122+AO96</f>
        <v>22724.999999999996</v>
      </c>
      <c r="AP122" s="119">
        <f t="shared" ref="AP122" si="711">AO122+AP96</f>
        <v>23482.499999999996</v>
      </c>
      <c r="AQ122" s="119">
        <f t="shared" ref="AQ122" si="712">AP122+AQ96</f>
        <v>24239.999999999996</v>
      </c>
      <c r="AR122" s="119">
        <f t="shared" ref="AR122" si="713">AQ122+AR96</f>
        <v>24997.499999999996</v>
      </c>
      <c r="AS122" s="119">
        <f t="shared" ref="AS122" si="714">AR122+AS96</f>
        <v>25754.999999999996</v>
      </c>
      <c r="AT122" s="119">
        <f t="shared" ref="AT122" si="715">AS122+AT96</f>
        <v>26512.499999999996</v>
      </c>
      <c r="AU122" s="119">
        <f t="shared" ref="AU122" si="716">AT122+AU96</f>
        <v>27269.999999999996</v>
      </c>
      <c r="AV122" s="119">
        <f t="shared" ref="AV122" si="717">AU122+AV96</f>
        <v>28027.499999999996</v>
      </c>
      <c r="AW122" s="119">
        <f t="shared" ref="AW122" si="718">AV122+AW96</f>
        <v>28784.999999999996</v>
      </c>
      <c r="AX122" s="119">
        <f t="shared" ref="AX122" si="719">AW122+AX96</f>
        <v>29542.499999999996</v>
      </c>
      <c r="AY122" s="119">
        <f t="shared" ref="AY122" si="720">AX122+AY96</f>
        <v>30299.999999999996</v>
      </c>
      <c r="AZ122" s="119">
        <f t="shared" ref="AZ122" si="721">AY122+AZ96</f>
        <v>31057.499999999996</v>
      </c>
      <c r="BA122" s="119">
        <f t="shared" ref="BA122" si="722">AZ122+BA96</f>
        <v>31814.999999999996</v>
      </c>
      <c r="BB122" s="119">
        <f t="shared" ref="BB122" si="723">BA122+BB96</f>
        <v>32572.499999999996</v>
      </c>
      <c r="BC122" s="119">
        <f t="shared" ref="BC122" si="724">BB122+BC96</f>
        <v>33329.999999999993</v>
      </c>
      <c r="BD122" s="119">
        <f t="shared" ref="BD122" si="725">BC122+BD96</f>
        <v>34087.499999999993</v>
      </c>
      <c r="BE122" s="119">
        <f t="shared" ref="BE122" si="726">BD122+BE96</f>
        <v>34844.999999999993</v>
      </c>
      <c r="BF122" s="119">
        <f t="shared" ref="BF122" si="727">BE122+BF96</f>
        <v>35602.499999999993</v>
      </c>
      <c r="BG122" s="119">
        <f t="shared" ref="BG122" si="728">BF122+BG96</f>
        <v>36359.999999999993</v>
      </c>
      <c r="BH122" s="119">
        <f t="shared" ref="BH122" si="729">BG122+BH96</f>
        <v>37117.499999999993</v>
      </c>
      <c r="BI122" s="119">
        <f t="shared" ref="BI122" si="730">BH122+BI96</f>
        <v>37874.999999999993</v>
      </c>
      <c r="BJ122" s="119">
        <f t="shared" ref="BJ122" si="731">BI122+BJ96</f>
        <v>38632.499999999993</v>
      </c>
    </row>
    <row r="123" spans="1:62" outlineLevel="1" x14ac:dyDescent="0.25">
      <c r="A123" s="18" t="s">
        <v>231</v>
      </c>
      <c r="B123" s="124">
        <f t="shared" si="339"/>
        <v>3128</v>
      </c>
      <c r="C123" s="119">
        <f>C99</f>
        <v>0</v>
      </c>
      <c r="D123" s="119">
        <f>C123+D99</f>
        <v>0</v>
      </c>
      <c r="E123" s="119">
        <f t="shared" ref="E123:N123" si="732">D123+E99</f>
        <v>0</v>
      </c>
      <c r="F123" s="119">
        <f t="shared" si="732"/>
        <v>0</v>
      </c>
      <c r="G123" s="119">
        <f t="shared" si="732"/>
        <v>0</v>
      </c>
      <c r="H123" s="119">
        <f t="shared" si="732"/>
        <v>0</v>
      </c>
      <c r="I123" s="119">
        <f t="shared" si="732"/>
        <v>0</v>
      </c>
      <c r="J123" s="119">
        <f t="shared" si="732"/>
        <v>0</v>
      </c>
      <c r="K123" s="119">
        <f t="shared" si="732"/>
        <v>0</v>
      </c>
      <c r="L123" s="119">
        <f t="shared" si="732"/>
        <v>757.49999999999989</v>
      </c>
      <c r="M123" s="119">
        <f t="shared" si="732"/>
        <v>1514.9999999999998</v>
      </c>
      <c r="N123" s="119">
        <f t="shared" si="732"/>
        <v>2272.4999999999995</v>
      </c>
      <c r="O123" s="119">
        <f t="shared" ref="O123" si="733">N123+O99</f>
        <v>3029.9999999999995</v>
      </c>
      <c r="P123" s="119">
        <f t="shared" ref="P123" si="734">O123+P99</f>
        <v>3787.4999999999995</v>
      </c>
      <c r="Q123" s="119">
        <f t="shared" ref="Q123" si="735">P123+Q99</f>
        <v>4544.9999999999991</v>
      </c>
      <c r="R123" s="119">
        <f t="shared" ref="R123" si="736">Q123+R99</f>
        <v>5302.4999999999991</v>
      </c>
      <c r="S123" s="119">
        <f t="shared" ref="S123" si="737">R123+S99</f>
        <v>6059.9999999999991</v>
      </c>
      <c r="T123" s="119">
        <f t="shared" ref="T123" si="738">S123+T99</f>
        <v>6817.4999999999991</v>
      </c>
      <c r="U123" s="119">
        <f t="shared" ref="U123" si="739">T123+U99</f>
        <v>7574.9999999999991</v>
      </c>
      <c r="V123" s="119">
        <f t="shared" ref="V123" si="740">U123+V99</f>
        <v>8332.4999999999982</v>
      </c>
      <c r="W123" s="119">
        <f t="shared" ref="W123" si="741">V123+W99</f>
        <v>9089.9999999999982</v>
      </c>
      <c r="X123" s="119">
        <f t="shared" ref="X123" si="742">W123+X99</f>
        <v>9847.4999999999982</v>
      </c>
      <c r="Y123" s="119">
        <f t="shared" ref="Y123" si="743">X123+Y99</f>
        <v>10604.999999999998</v>
      </c>
      <c r="Z123" s="119">
        <f t="shared" ref="Z123" si="744">Y123+Z99</f>
        <v>11362.499999999998</v>
      </c>
      <c r="AA123" s="119">
        <f t="shared" ref="AA123" si="745">Z123+AA99</f>
        <v>12119.999999999998</v>
      </c>
      <c r="AB123" s="119">
        <f t="shared" ref="AB123" si="746">AA123+AB99</f>
        <v>12877.499999999998</v>
      </c>
      <c r="AC123" s="119">
        <f t="shared" ref="AC123" si="747">AB123+AC99</f>
        <v>13634.999999999998</v>
      </c>
      <c r="AD123" s="119">
        <f t="shared" ref="AD123" si="748">AC123+AD99</f>
        <v>14392.499999999998</v>
      </c>
      <c r="AE123" s="119">
        <f t="shared" ref="AE123" si="749">AD123+AE99</f>
        <v>15149.999999999998</v>
      </c>
      <c r="AF123" s="119">
        <f t="shared" ref="AF123" si="750">AE123+AF99</f>
        <v>15907.499999999998</v>
      </c>
      <c r="AG123" s="119">
        <f t="shared" ref="AG123" si="751">AF123+AG99</f>
        <v>16664.999999999996</v>
      </c>
      <c r="AH123" s="119">
        <f t="shared" ref="AH123" si="752">AG123+AH99</f>
        <v>17422.499999999996</v>
      </c>
      <c r="AI123" s="119">
        <f t="shared" ref="AI123" si="753">AH123+AI99</f>
        <v>18179.999999999996</v>
      </c>
      <c r="AJ123" s="119">
        <f t="shared" ref="AJ123" si="754">AI123+AJ99</f>
        <v>18937.499999999996</v>
      </c>
      <c r="AK123" s="119">
        <f t="shared" ref="AK123" si="755">AJ123+AK99</f>
        <v>19694.999999999996</v>
      </c>
      <c r="AL123" s="119">
        <f t="shared" ref="AL123" si="756">AK123+AL99</f>
        <v>20452.499999999996</v>
      </c>
      <c r="AM123" s="119">
        <f t="shared" ref="AM123" si="757">AL123+AM99</f>
        <v>21209.999999999996</v>
      </c>
      <c r="AN123" s="119">
        <f t="shared" ref="AN123" si="758">AM123+AN99</f>
        <v>21967.499999999996</v>
      </c>
      <c r="AO123" s="119">
        <f t="shared" ref="AO123" si="759">AN123+AO99</f>
        <v>22724.999999999996</v>
      </c>
      <c r="AP123" s="119">
        <f t="shared" ref="AP123" si="760">AO123+AP99</f>
        <v>23482.499999999996</v>
      </c>
      <c r="AQ123" s="119">
        <f t="shared" ref="AQ123" si="761">AP123+AQ99</f>
        <v>24239.999999999996</v>
      </c>
      <c r="AR123" s="119">
        <f t="shared" ref="AR123" si="762">AQ123+AR99</f>
        <v>24997.499999999996</v>
      </c>
      <c r="AS123" s="119">
        <f t="shared" ref="AS123" si="763">AR123+AS99</f>
        <v>25754.999999999996</v>
      </c>
      <c r="AT123" s="119">
        <f t="shared" ref="AT123" si="764">AS123+AT99</f>
        <v>26512.499999999996</v>
      </c>
      <c r="AU123" s="119">
        <f t="shared" ref="AU123" si="765">AT123+AU99</f>
        <v>27269.999999999996</v>
      </c>
      <c r="AV123" s="119">
        <f t="shared" ref="AV123" si="766">AU123+AV99</f>
        <v>28027.499999999996</v>
      </c>
      <c r="AW123" s="119">
        <f t="shared" ref="AW123" si="767">AV123+AW99</f>
        <v>28784.999999999996</v>
      </c>
      <c r="AX123" s="119">
        <f t="shared" ref="AX123" si="768">AW123+AX99</f>
        <v>29542.499999999996</v>
      </c>
      <c r="AY123" s="119">
        <f t="shared" ref="AY123" si="769">AX123+AY99</f>
        <v>30299.999999999996</v>
      </c>
      <c r="AZ123" s="119">
        <f t="shared" ref="AZ123" si="770">AY123+AZ99</f>
        <v>31057.499999999996</v>
      </c>
      <c r="BA123" s="119">
        <f t="shared" ref="BA123" si="771">AZ123+BA99</f>
        <v>31814.999999999996</v>
      </c>
      <c r="BB123" s="119">
        <f t="shared" ref="BB123" si="772">BA123+BB99</f>
        <v>32572.499999999996</v>
      </c>
      <c r="BC123" s="119">
        <f t="shared" ref="BC123" si="773">BB123+BC99</f>
        <v>33329.999999999993</v>
      </c>
      <c r="BD123" s="119">
        <f t="shared" ref="BD123" si="774">BC123+BD99</f>
        <v>34087.499999999993</v>
      </c>
      <c r="BE123" s="119">
        <f t="shared" ref="BE123" si="775">BD123+BE99</f>
        <v>34844.999999999993</v>
      </c>
      <c r="BF123" s="119">
        <f t="shared" ref="BF123" si="776">BE123+BF99</f>
        <v>35602.499999999993</v>
      </c>
      <c r="BG123" s="119">
        <f t="shared" ref="BG123" si="777">BF123+BG99</f>
        <v>36359.999999999993</v>
      </c>
      <c r="BH123" s="119">
        <f t="shared" ref="BH123" si="778">BG123+BH99</f>
        <v>37117.499999999993</v>
      </c>
      <c r="BI123" s="119">
        <f t="shared" ref="BI123" si="779">BH123+BI99</f>
        <v>37874.999999999993</v>
      </c>
      <c r="BJ123" s="119">
        <f t="shared" ref="BJ123" si="780">BI123+BJ99</f>
        <v>38632.499999999993</v>
      </c>
    </row>
    <row r="124" spans="1:62" outlineLevel="1" x14ac:dyDescent="0.25">
      <c r="A124" s="18" t="s">
        <v>231</v>
      </c>
      <c r="B124" s="124">
        <f t="shared" si="339"/>
        <v>3128</v>
      </c>
      <c r="C124" s="119">
        <f>C102</f>
        <v>0</v>
      </c>
      <c r="D124" s="119">
        <f>C124+D102</f>
        <v>0</v>
      </c>
      <c r="E124" s="119">
        <f t="shared" ref="E124:N124" si="781">D124+E102</f>
        <v>0</v>
      </c>
      <c r="F124" s="119">
        <f t="shared" si="781"/>
        <v>0</v>
      </c>
      <c r="G124" s="119">
        <f t="shared" si="781"/>
        <v>0</v>
      </c>
      <c r="H124" s="119">
        <f t="shared" si="781"/>
        <v>0</v>
      </c>
      <c r="I124" s="119">
        <f t="shared" si="781"/>
        <v>0</v>
      </c>
      <c r="J124" s="119">
        <f t="shared" si="781"/>
        <v>0</v>
      </c>
      <c r="K124" s="119">
        <f t="shared" si="781"/>
        <v>0</v>
      </c>
      <c r="L124" s="119">
        <f t="shared" si="781"/>
        <v>0</v>
      </c>
      <c r="M124" s="119">
        <f t="shared" si="781"/>
        <v>757.49999999999989</v>
      </c>
      <c r="N124" s="119">
        <f t="shared" si="781"/>
        <v>1514.9999999999998</v>
      </c>
      <c r="O124" s="119">
        <f t="shared" ref="O124" si="782">N124+O102</f>
        <v>2272.4999999999995</v>
      </c>
      <c r="P124" s="119">
        <f t="shared" ref="P124" si="783">O124+P102</f>
        <v>3029.9999999999995</v>
      </c>
      <c r="Q124" s="119">
        <f t="shared" ref="Q124" si="784">P124+Q102</f>
        <v>3787.4999999999995</v>
      </c>
      <c r="R124" s="119">
        <f t="shared" ref="R124" si="785">Q124+R102</f>
        <v>4544.9999999999991</v>
      </c>
      <c r="S124" s="119">
        <f t="shared" ref="S124" si="786">R124+S102</f>
        <v>5302.4999999999991</v>
      </c>
      <c r="T124" s="119">
        <f t="shared" ref="T124" si="787">S124+T102</f>
        <v>6059.9999999999991</v>
      </c>
      <c r="U124" s="119">
        <f t="shared" ref="U124" si="788">T124+U102</f>
        <v>6817.4999999999991</v>
      </c>
      <c r="V124" s="119">
        <f t="shared" ref="V124" si="789">U124+V102</f>
        <v>7574.9999999999991</v>
      </c>
      <c r="W124" s="119">
        <f t="shared" ref="W124" si="790">V124+W102</f>
        <v>8332.4999999999982</v>
      </c>
      <c r="X124" s="119">
        <f t="shared" ref="X124" si="791">W124+X102</f>
        <v>9089.9999999999982</v>
      </c>
      <c r="Y124" s="119">
        <f t="shared" ref="Y124" si="792">X124+Y102</f>
        <v>9847.4999999999982</v>
      </c>
      <c r="Z124" s="119">
        <f t="shared" ref="Z124" si="793">Y124+Z102</f>
        <v>10604.999999999998</v>
      </c>
      <c r="AA124" s="119">
        <f t="shared" ref="AA124" si="794">Z124+AA102</f>
        <v>11362.499999999998</v>
      </c>
      <c r="AB124" s="119">
        <f t="shared" ref="AB124" si="795">AA124+AB102</f>
        <v>12119.999999999998</v>
      </c>
      <c r="AC124" s="119">
        <f t="shared" ref="AC124" si="796">AB124+AC102</f>
        <v>12877.499999999998</v>
      </c>
      <c r="AD124" s="119">
        <f t="shared" ref="AD124" si="797">AC124+AD102</f>
        <v>13634.999999999998</v>
      </c>
      <c r="AE124" s="119">
        <f t="shared" ref="AE124" si="798">AD124+AE102</f>
        <v>14392.499999999998</v>
      </c>
      <c r="AF124" s="119">
        <f t="shared" ref="AF124" si="799">AE124+AF102</f>
        <v>15149.999999999998</v>
      </c>
      <c r="AG124" s="119">
        <f t="shared" ref="AG124" si="800">AF124+AG102</f>
        <v>15907.499999999998</v>
      </c>
      <c r="AH124" s="119">
        <f t="shared" ref="AH124" si="801">AG124+AH102</f>
        <v>16664.999999999996</v>
      </c>
      <c r="AI124" s="119">
        <f t="shared" ref="AI124" si="802">AH124+AI102</f>
        <v>17422.499999999996</v>
      </c>
      <c r="AJ124" s="119">
        <f t="shared" ref="AJ124" si="803">AI124+AJ102</f>
        <v>18179.999999999996</v>
      </c>
      <c r="AK124" s="119">
        <f t="shared" ref="AK124" si="804">AJ124+AK102</f>
        <v>18937.499999999996</v>
      </c>
      <c r="AL124" s="119">
        <f t="shared" ref="AL124" si="805">AK124+AL102</f>
        <v>19694.999999999996</v>
      </c>
      <c r="AM124" s="119">
        <f t="shared" ref="AM124" si="806">AL124+AM102</f>
        <v>20452.499999999996</v>
      </c>
      <c r="AN124" s="119">
        <f t="shared" ref="AN124" si="807">AM124+AN102</f>
        <v>21209.999999999996</v>
      </c>
      <c r="AO124" s="119">
        <f t="shared" ref="AO124" si="808">AN124+AO102</f>
        <v>21967.499999999996</v>
      </c>
      <c r="AP124" s="119">
        <f t="shared" ref="AP124" si="809">AO124+AP102</f>
        <v>22724.999999999996</v>
      </c>
      <c r="AQ124" s="119">
        <f t="shared" ref="AQ124" si="810">AP124+AQ102</f>
        <v>23482.499999999996</v>
      </c>
      <c r="AR124" s="119">
        <f t="shared" ref="AR124" si="811">AQ124+AR102</f>
        <v>24239.999999999996</v>
      </c>
      <c r="AS124" s="119">
        <f t="shared" ref="AS124" si="812">AR124+AS102</f>
        <v>24997.499999999996</v>
      </c>
      <c r="AT124" s="119">
        <f t="shared" ref="AT124" si="813">AS124+AT102</f>
        <v>25754.999999999996</v>
      </c>
      <c r="AU124" s="119">
        <f t="shared" ref="AU124" si="814">AT124+AU102</f>
        <v>26512.499999999996</v>
      </c>
      <c r="AV124" s="119">
        <f t="shared" ref="AV124" si="815">AU124+AV102</f>
        <v>27269.999999999996</v>
      </c>
      <c r="AW124" s="119">
        <f t="shared" ref="AW124" si="816">AV124+AW102</f>
        <v>28027.499999999996</v>
      </c>
      <c r="AX124" s="119">
        <f t="shared" ref="AX124" si="817">AW124+AX102</f>
        <v>28784.999999999996</v>
      </c>
      <c r="AY124" s="119">
        <f t="shared" ref="AY124" si="818">AX124+AY102</f>
        <v>29542.499999999996</v>
      </c>
      <c r="AZ124" s="119">
        <f t="shared" ref="AZ124" si="819">AY124+AZ102</f>
        <v>30299.999999999996</v>
      </c>
      <c r="BA124" s="119">
        <f t="shared" ref="BA124" si="820">AZ124+BA102</f>
        <v>31057.499999999996</v>
      </c>
      <c r="BB124" s="119">
        <f t="shared" ref="BB124" si="821">BA124+BB102</f>
        <v>31814.999999999996</v>
      </c>
      <c r="BC124" s="119">
        <f t="shared" ref="BC124" si="822">BB124+BC102</f>
        <v>32572.499999999996</v>
      </c>
      <c r="BD124" s="119">
        <f t="shared" ref="BD124" si="823">BC124+BD102</f>
        <v>33329.999999999993</v>
      </c>
      <c r="BE124" s="119">
        <f t="shared" ref="BE124" si="824">BD124+BE102</f>
        <v>34087.499999999993</v>
      </c>
      <c r="BF124" s="119">
        <f t="shared" ref="BF124" si="825">BE124+BF102</f>
        <v>34844.999999999993</v>
      </c>
      <c r="BG124" s="119">
        <f t="shared" ref="BG124" si="826">BF124+BG102</f>
        <v>35602.499999999993</v>
      </c>
      <c r="BH124" s="119">
        <f t="shared" ref="BH124" si="827">BG124+BH102</f>
        <v>36359.999999999993</v>
      </c>
      <c r="BI124" s="119">
        <f t="shared" ref="BI124" si="828">BH124+BI102</f>
        <v>37117.499999999993</v>
      </c>
      <c r="BJ124" s="119">
        <f t="shared" ref="BJ124" si="829">BI124+BJ102</f>
        <v>37874.999999999993</v>
      </c>
    </row>
    <row r="125" spans="1:62" outlineLevel="1" x14ac:dyDescent="0.25">
      <c r="A125" s="18" t="s">
        <v>231</v>
      </c>
      <c r="B125" s="124">
        <f t="shared" si="339"/>
        <v>3128</v>
      </c>
      <c r="C125" s="119">
        <f>C105</f>
        <v>0</v>
      </c>
      <c r="D125" s="119">
        <f>C125+D105</f>
        <v>0</v>
      </c>
      <c r="E125" s="119">
        <f t="shared" ref="E125:N125" si="830">D125+E105</f>
        <v>0</v>
      </c>
      <c r="F125" s="119">
        <f t="shared" si="830"/>
        <v>0</v>
      </c>
      <c r="G125" s="119">
        <f t="shared" si="830"/>
        <v>0</v>
      </c>
      <c r="H125" s="119">
        <f t="shared" si="830"/>
        <v>0</v>
      </c>
      <c r="I125" s="119">
        <f t="shared" si="830"/>
        <v>0</v>
      </c>
      <c r="J125" s="119">
        <f t="shared" si="830"/>
        <v>0</v>
      </c>
      <c r="K125" s="119">
        <f t="shared" si="830"/>
        <v>0</v>
      </c>
      <c r="L125" s="119">
        <f t="shared" si="830"/>
        <v>0</v>
      </c>
      <c r="M125" s="119">
        <f t="shared" si="830"/>
        <v>0</v>
      </c>
      <c r="N125" s="119">
        <f t="shared" si="830"/>
        <v>757.49999999999989</v>
      </c>
      <c r="O125" s="119">
        <f t="shared" ref="O125" si="831">N125+O105</f>
        <v>1514.9999999999998</v>
      </c>
      <c r="P125" s="119">
        <f t="shared" ref="P125" si="832">O125+P105</f>
        <v>2272.4999999999995</v>
      </c>
      <c r="Q125" s="119">
        <f t="shared" ref="Q125" si="833">P125+Q105</f>
        <v>3029.9999999999995</v>
      </c>
      <c r="R125" s="119">
        <f t="shared" ref="R125" si="834">Q125+R105</f>
        <v>3787.4999999999995</v>
      </c>
      <c r="S125" s="119">
        <f t="shared" ref="S125" si="835">R125+S105</f>
        <v>4544.9999999999991</v>
      </c>
      <c r="T125" s="119">
        <f t="shared" ref="T125" si="836">S125+T105</f>
        <v>5302.4999999999991</v>
      </c>
      <c r="U125" s="119">
        <f t="shared" ref="U125" si="837">T125+U105</f>
        <v>6059.9999999999991</v>
      </c>
      <c r="V125" s="119">
        <f t="shared" ref="V125" si="838">U125+V105</f>
        <v>6817.4999999999991</v>
      </c>
      <c r="W125" s="119">
        <f t="shared" ref="W125" si="839">V125+W105</f>
        <v>7574.9999999999991</v>
      </c>
      <c r="X125" s="119">
        <f t="shared" ref="X125" si="840">W125+X105</f>
        <v>8332.4999999999982</v>
      </c>
      <c r="Y125" s="119">
        <f t="shared" ref="Y125" si="841">X125+Y105</f>
        <v>9089.9999999999982</v>
      </c>
      <c r="Z125" s="119">
        <f t="shared" ref="Z125" si="842">Y125+Z105</f>
        <v>9847.4999999999982</v>
      </c>
      <c r="AA125" s="119">
        <f t="shared" ref="AA125" si="843">Z125+AA105</f>
        <v>10604.999999999998</v>
      </c>
      <c r="AB125" s="119">
        <f t="shared" ref="AB125" si="844">AA125+AB105</f>
        <v>11362.499999999998</v>
      </c>
      <c r="AC125" s="119">
        <f t="shared" ref="AC125" si="845">AB125+AC105</f>
        <v>12119.999999999998</v>
      </c>
      <c r="AD125" s="119">
        <f t="shared" ref="AD125" si="846">AC125+AD105</f>
        <v>12877.499999999998</v>
      </c>
      <c r="AE125" s="119">
        <f t="shared" ref="AE125" si="847">AD125+AE105</f>
        <v>13634.999999999998</v>
      </c>
      <c r="AF125" s="119">
        <f t="shared" ref="AF125" si="848">AE125+AF105</f>
        <v>14392.499999999998</v>
      </c>
      <c r="AG125" s="119">
        <f t="shared" ref="AG125" si="849">AF125+AG105</f>
        <v>15149.999999999998</v>
      </c>
      <c r="AH125" s="119">
        <f t="shared" ref="AH125" si="850">AG125+AH105</f>
        <v>15907.499999999998</v>
      </c>
      <c r="AI125" s="119">
        <f t="shared" ref="AI125" si="851">AH125+AI105</f>
        <v>16664.999999999996</v>
      </c>
      <c r="AJ125" s="119">
        <f t="shared" ref="AJ125" si="852">AI125+AJ105</f>
        <v>17422.499999999996</v>
      </c>
      <c r="AK125" s="119">
        <f t="shared" ref="AK125" si="853">AJ125+AK105</f>
        <v>18179.999999999996</v>
      </c>
      <c r="AL125" s="119">
        <f t="shared" ref="AL125" si="854">AK125+AL105</f>
        <v>18937.499999999996</v>
      </c>
      <c r="AM125" s="119">
        <f t="shared" ref="AM125" si="855">AL125+AM105</f>
        <v>19694.999999999996</v>
      </c>
      <c r="AN125" s="119">
        <f t="shared" ref="AN125" si="856">AM125+AN105</f>
        <v>20452.499999999996</v>
      </c>
      <c r="AO125" s="119">
        <f t="shared" ref="AO125" si="857">AN125+AO105</f>
        <v>21209.999999999996</v>
      </c>
      <c r="AP125" s="119">
        <f t="shared" ref="AP125" si="858">AO125+AP105</f>
        <v>21967.499999999996</v>
      </c>
      <c r="AQ125" s="119">
        <f t="shared" ref="AQ125" si="859">AP125+AQ105</f>
        <v>22724.999999999996</v>
      </c>
      <c r="AR125" s="119">
        <f t="shared" ref="AR125" si="860">AQ125+AR105</f>
        <v>23482.499999999996</v>
      </c>
      <c r="AS125" s="119">
        <f t="shared" ref="AS125" si="861">AR125+AS105</f>
        <v>24239.999999999996</v>
      </c>
      <c r="AT125" s="119">
        <f t="shared" ref="AT125" si="862">AS125+AT105</f>
        <v>24997.499999999996</v>
      </c>
      <c r="AU125" s="119">
        <f t="shared" ref="AU125" si="863">AT125+AU105</f>
        <v>25754.999999999996</v>
      </c>
      <c r="AV125" s="119">
        <f t="shared" ref="AV125" si="864">AU125+AV105</f>
        <v>26512.499999999996</v>
      </c>
      <c r="AW125" s="119">
        <f t="shared" ref="AW125" si="865">AV125+AW105</f>
        <v>27269.999999999996</v>
      </c>
      <c r="AX125" s="119">
        <f t="shared" ref="AX125" si="866">AW125+AX105</f>
        <v>28027.499999999996</v>
      </c>
      <c r="AY125" s="119">
        <f t="shared" ref="AY125" si="867">AX125+AY105</f>
        <v>28784.999999999996</v>
      </c>
      <c r="AZ125" s="119">
        <f t="shared" ref="AZ125" si="868">AY125+AZ105</f>
        <v>29542.499999999996</v>
      </c>
      <c r="BA125" s="119">
        <f t="shared" ref="BA125" si="869">AZ125+BA105</f>
        <v>30299.999999999996</v>
      </c>
      <c r="BB125" s="119">
        <f t="shared" ref="BB125" si="870">BA125+BB105</f>
        <v>31057.499999999996</v>
      </c>
      <c r="BC125" s="119">
        <f t="shared" ref="BC125" si="871">BB125+BC105</f>
        <v>31814.999999999996</v>
      </c>
      <c r="BD125" s="119">
        <f t="shared" ref="BD125" si="872">BC125+BD105</f>
        <v>32572.499999999996</v>
      </c>
      <c r="BE125" s="119">
        <f t="shared" ref="BE125" si="873">BD125+BE105</f>
        <v>33329.999999999993</v>
      </c>
      <c r="BF125" s="119">
        <f t="shared" ref="BF125" si="874">BE125+BF105</f>
        <v>34087.499999999993</v>
      </c>
      <c r="BG125" s="119">
        <f t="shared" ref="BG125" si="875">BF125+BG105</f>
        <v>34844.999999999993</v>
      </c>
      <c r="BH125" s="119">
        <f t="shared" ref="BH125" si="876">BG125+BH105</f>
        <v>35602.499999999993</v>
      </c>
      <c r="BI125" s="119">
        <f t="shared" ref="BI125" si="877">BH125+BI105</f>
        <v>36359.999999999993</v>
      </c>
      <c r="BJ125" s="119">
        <f t="shared" ref="BJ125" si="878">BI125+BJ105</f>
        <v>37117.499999999993</v>
      </c>
    </row>
    <row r="126" spans="1:62" ht="17" outlineLevel="1" thickBot="1" x14ac:dyDescent="0.3">
      <c r="A126" s="18" t="s">
        <v>231</v>
      </c>
      <c r="B126" s="124">
        <f t="shared" si="339"/>
        <v>3128</v>
      </c>
      <c r="C126" s="119">
        <f>C108</f>
        <v>0</v>
      </c>
      <c r="D126" s="119">
        <f>C126+D108</f>
        <v>0</v>
      </c>
      <c r="E126" s="119">
        <f t="shared" ref="E126:N126" si="879">D126+E108</f>
        <v>0</v>
      </c>
      <c r="F126" s="119">
        <f t="shared" si="879"/>
        <v>0</v>
      </c>
      <c r="G126" s="119">
        <f t="shared" si="879"/>
        <v>0</v>
      </c>
      <c r="H126" s="119">
        <f t="shared" si="879"/>
        <v>0</v>
      </c>
      <c r="I126" s="119">
        <f t="shared" si="879"/>
        <v>0</v>
      </c>
      <c r="J126" s="119">
        <f t="shared" si="879"/>
        <v>0</v>
      </c>
      <c r="K126" s="119">
        <f t="shared" si="879"/>
        <v>0</v>
      </c>
      <c r="L126" s="119">
        <f t="shared" si="879"/>
        <v>0</v>
      </c>
      <c r="M126" s="119">
        <f t="shared" si="879"/>
        <v>0</v>
      </c>
      <c r="N126" s="119">
        <f t="shared" si="879"/>
        <v>757.49999999999989</v>
      </c>
      <c r="O126" s="119">
        <f t="shared" ref="O126" si="880">N126+O108</f>
        <v>1514.9999999999998</v>
      </c>
      <c r="P126" s="119">
        <f t="shared" ref="P126" si="881">O126+P108</f>
        <v>2272.4999999999995</v>
      </c>
      <c r="Q126" s="119">
        <f t="shared" ref="Q126" si="882">P126+Q108</f>
        <v>3029.9999999999995</v>
      </c>
      <c r="R126" s="119">
        <f t="shared" ref="R126" si="883">Q126+R108</f>
        <v>3787.4999999999995</v>
      </c>
      <c r="S126" s="119">
        <f t="shared" ref="S126" si="884">R126+S108</f>
        <v>4544.9999999999991</v>
      </c>
      <c r="T126" s="119">
        <f t="shared" ref="T126" si="885">S126+T108</f>
        <v>5302.4999999999991</v>
      </c>
      <c r="U126" s="119">
        <f t="shared" ref="U126" si="886">T126+U108</f>
        <v>6059.9999999999991</v>
      </c>
      <c r="V126" s="119">
        <f t="shared" ref="V126" si="887">U126+V108</f>
        <v>6817.4999999999991</v>
      </c>
      <c r="W126" s="119">
        <f t="shared" ref="W126" si="888">V126+W108</f>
        <v>7574.9999999999991</v>
      </c>
      <c r="X126" s="119">
        <f t="shared" ref="X126" si="889">W126+X108</f>
        <v>8332.4999999999982</v>
      </c>
      <c r="Y126" s="119">
        <f t="shared" ref="Y126" si="890">X126+Y108</f>
        <v>9089.9999999999982</v>
      </c>
      <c r="Z126" s="119">
        <f t="shared" ref="Z126" si="891">Y126+Z108</f>
        <v>9847.4999999999982</v>
      </c>
      <c r="AA126" s="119">
        <f t="shared" ref="AA126" si="892">Z126+AA108</f>
        <v>10604.999999999998</v>
      </c>
      <c r="AB126" s="119">
        <f t="shared" ref="AB126" si="893">AA126+AB108</f>
        <v>11362.499999999998</v>
      </c>
      <c r="AC126" s="119">
        <f t="shared" ref="AC126" si="894">AB126+AC108</f>
        <v>12119.999999999998</v>
      </c>
      <c r="AD126" s="119">
        <f t="shared" ref="AD126" si="895">AC126+AD108</f>
        <v>12877.499999999998</v>
      </c>
      <c r="AE126" s="119">
        <f t="shared" ref="AE126" si="896">AD126+AE108</f>
        <v>13634.999999999998</v>
      </c>
      <c r="AF126" s="119">
        <f t="shared" ref="AF126" si="897">AE126+AF108</f>
        <v>14392.499999999998</v>
      </c>
      <c r="AG126" s="119">
        <f t="shared" ref="AG126" si="898">AF126+AG108</f>
        <v>15149.999999999998</v>
      </c>
      <c r="AH126" s="119">
        <f t="shared" ref="AH126" si="899">AG126+AH108</f>
        <v>15907.499999999998</v>
      </c>
      <c r="AI126" s="119">
        <f t="shared" ref="AI126" si="900">AH126+AI108</f>
        <v>16664.999999999996</v>
      </c>
      <c r="AJ126" s="119">
        <f t="shared" ref="AJ126" si="901">AI126+AJ108</f>
        <v>17422.499999999996</v>
      </c>
      <c r="AK126" s="119">
        <f t="shared" ref="AK126" si="902">AJ126+AK108</f>
        <v>18179.999999999996</v>
      </c>
      <c r="AL126" s="119">
        <f t="shared" ref="AL126" si="903">AK126+AL108</f>
        <v>18937.499999999996</v>
      </c>
      <c r="AM126" s="119">
        <f t="shared" ref="AM126" si="904">AL126+AM108</f>
        <v>19694.999999999996</v>
      </c>
      <c r="AN126" s="119">
        <f t="shared" ref="AN126" si="905">AM126+AN108</f>
        <v>20452.499999999996</v>
      </c>
      <c r="AO126" s="119">
        <f t="shared" ref="AO126" si="906">AN126+AO108</f>
        <v>21209.999999999996</v>
      </c>
      <c r="AP126" s="119">
        <f t="shared" ref="AP126" si="907">AO126+AP108</f>
        <v>21967.499999999996</v>
      </c>
      <c r="AQ126" s="119">
        <f t="shared" ref="AQ126" si="908">AP126+AQ108</f>
        <v>22724.999999999996</v>
      </c>
      <c r="AR126" s="119">
        <f t="shared" ref="AR126" si="909">AQ126+AR108</f>
        <v>23482.499999999996</v>
      </c>
      <c r="AS126" s="119">
        <f t="shared" ref="AS126" si="910">AR126+AS108</f>
        <v>24239.999999999996</v>
      </c>
      <c r="AT126" s="119">
        <f t="shared" ref="AT126" si="911">AS126+AT108</f>
        <v>24997.499999999996</v>
      </c>
      <c r="AU126" s="119">
        <f t="shared" ref="AU126" si="912">AT126+AU108</f>
        <v>25754.999999999996</v>
      </c>
      <c r="AV126" s="119">
        <f t="shared" ref="AV126" si="913">AU126+AV108</f>
        <v>26512.499999999996</v>
      </c>
      <c r="AW126" s="119">
        <f t="shared" ref="AW126" si="914">AV126+AW108</f>
        <v>27269.999999999996</v>
      </c>
      <c r="AX126" s="119">
        <f t="shared" ref="AX126" si="915">AW126+AX108</f>
        <v>28027.499999999996</v>
      </c>
      <c r="AY126" s="119">
        <f t="shared" ref="AY126" si="916">AX126+AY108</f>
        <v>28784.999999999996</v>
      </c>
      <c r="AZ126" s="119">
        <f t="shared" ref="AZ126" si="917">AY126+AZ108</f>
        <v>29542.499999999996</v>
      </c>
      <c r="BA126" s="119">
        <f t="shared" ref="BA126" si="918">AZ126+BA108</f>
        <v>30299.999999999996</v>
      </c>
      <c r="BB126" s="119">
        <f t="shared" ref="BB126" si="919">BA126+BB108</f>
        <v>31057.499999999996</v>
      </c>
      <c r="BC126" s="119">
        <f t="shared" ref="BC126" si="920">BB126+BC108</f>
        <v>31814.999999999996</v>
      </c>
      <c r="BD126" s="119">
        <f t="shared" ref="BD126" si="921">BC126+BD108</f>
        <v>32572.499999999996</v>
      </c>
      <c r="BE126" s="119">
        <f t="shared" ref="BE126" si="922">BD126+BE108</f>
        <v>33329.999999999993</v>
      </c>
      <c r="BF126" s="119">
        <f t="shared" ref="BF126" si="923">BE126+BF108</f>
        <v>34087.499999999993</v>
      </c>
      <c r="BG126" s="119">
        <f t="shared" ref="BG126" si="924">BF126+BG108</f>
        <v>34844.999999999993</v>
      </c>
      <c r="BH126" s="119">
        <f t="shared" ref="BH126" si="925">BG126+BH108</f>
        <v>35602.499999999993</v>
      </c>
      <c r="BI126" s="119">
        <f t="shared" ref="BI126" si="926">BH126+BI108</f>
        <v>36359.999999999993</v>
      </c>
      <c r="BJ126" s="119">
        <f t="shared" ref="BJ126" si="927">BI126+BJ108</f>
        <v>37117.499999999993</v>
      </c>
    </row>
    <row r="127" spans="1:62" x14ac:dyDescent="0.25">
      <c r="A127" s="113" t="s">
        <v>242</v>
      </c>
      <c r="B127" s="120"/>
      <c r="C127" s="120">
        <f>SUM(C115:C126)</f>
        <v>1820</v>
      </c>
      <c r="D127" s="120">
        <f t="shared" ref="D127" si="928">SUM(D115:D126)</f>
        <v>3640</v>
      </c>
      <c r="E127" s="120">
        <f t="shared" ref="E127" si="929">SUM(E115:E126)</f>
        <v>5460</v>
      </c>
      <c r="F127" s="120">
        <f t="shared" ref="F127" si="930">SUM(F115:F126)</f>
        <v>9100</v>
      </c>
      <c r="G127" s="120">
        <f t="shared" ref="G127" si="931">SUM(G115:G126)</f>
        <v>12740</v>
      </c>
      <c r="H127" s="120">
        <f t="shared" ref="H127" si="932">SUM(H115:H126)</f>
        <v>16380</v>
      </c>
      <c r="I127" s="120">
        <f t="shared" ref="I127" si="933">SUM(I115:I126)</f>
        <v>20020</v>
      </c>
      <c r="J127" s="120">
        <f t="shared" ref="J127" si="934">SUM(J115:J126)</f>
        <v>27300</v>
      </c>
      <c r="K127" s="120">
        <f t="shared" ref="K127" si="935">SUM(K115:K126)</f>
        <v>35337.5</v>
      </c>
      <c r="L127" s="120">
        <f t="shared" ref="L127" si="936">SUM(L115:L126)</f>
        <v>46840</v>
      </c>
      <c r="M127" s="120">
        <f t="shared" ref="M127" si="937">SUM(M115:M126)</f>
        <v>61050</v>
      </c>
      <c r="N127" s="120">
        <f t="shared" ref="N127:BJ127" si="938">SUM(N115:N126)</f>
        <v>78725</v>
      </c>
      <c r="O127" s="120">
        <f t="shared" si="938"/>
        <v>96439</v>
      </c>
      <c r="P127" s="120">
        <f t="shared" si="938"/>
        <v>114192.78</v>
      </c>
      <c r="Q127" s="120">
        <f t="shared" si="938"/>
        <v>131987.13559999998</v>
      </c>
      <c r="R127" s="120">
        <f t="shared" si="938"/>
        <v>149822.87831199999</v>
      </c>
      <c r="S127" s="120">
        <f t="shared" si="938"/>
        <v>167700.83587824</v>
      </c>
      <c r="T127" s="120">
        <f t="shared" si="938"/>
        <v>185621.85259580481</v>
      </c>
      <c r="U127" s="120">
        <f t="shared" si="938"/>
        <v>203586.7896477209</v>
      </c>
      <c r="V127" s="120">
        <f t="shared" si="938"/>
        <v>221596.52544067532</v>
      </c>
      <c r="W127" s="120">
        <f t="shared" si="938"/>
        <v>239651.95594948882</v>
      </c>
      <c r="X127" s="120">
        <f t="shared" si="938"/>
        <v>257753.9950684786</v>
      </c>
      <c r="Y127" s="120">
        <f t="shared" si="938"/>
        <v>275903.57496984815</v>
      </c>
      <c r="Z127" s="120">
        <f t="shared" si="938"/>
        <v>294101.64646924514</v>
      </c>
      <c r="AA127" s="120">
        <f t="shared" si="938"/>
        <v>312349.17939863005</v>
      </c>
      <c r="AB127" s="120">
        <f t="shared" si="938"/>
        <v>330647.16298660263</v>
      </c>
      <c r="AC127" s="120">
        <f t="shared" si="938"/>
        <v>348996.60624633468</v>
      </c>
      <c r="AD127" s="120">
        <f t="shared" si="938"/>
        <v>367398.53837126138</v>
      </c>
      <c r="AE127" s="120">
        <f t="shared" si="938"/>
        <v>385854.00913868664</v>
      </c>
      <c r="AF127" s="120">
        <f t="shared" si="938"/>
        <v>404364.08932146034</v>
      </c>
      <c r="AG127" s="120">
        <f t="shared" si="938"/>
        <v>422929.87110788957</v>
      </c>
      <c r="AH127" s="120">
        <f t="shared" si="938"/>
        <v>441552.46853004734</v>
      </c>
      <c r="AI127" s="120">
        <f t="shared" si="938"/>
        <v>460233.01790064829</v>
      </c>
      <c r="AJ127" s="120">
        <f t="shared" si="938"/>
        <v>478972.67825866124</v>
      </c>
      <c r="AK127" s="120">
        <f t="shared" si="938"/>
        <v>497772.6318238345</v>
      </c>
      <c r="AL127" s="120">
        <f t="shared" si="938"/>
        <v>516634.08446031116</v>
      </c>
      <c r="AM127" s="120">
        <f t="shared" si="938"/>
        <v>535558.26614951738</v>
      </c>
      <c r="AN127" s="120">
        <f t="shared" si="938"/>
        <v>554546.43147250777</v>
      </c>
      <c r="AO127" s="120">
        <f t="shared" si="938"/>
        <v>573599.86010195792</v>
      </c>
      <c r="AP127" s="120">
        <f t="shared" si="938"/>
        <v>592719.85730399704</v>
      </c>
      <c r="AQ127" s="120">
        <f t="shared" si="938"/>
        <v>611907.75445007696</v>
      </c>
      <c r="AR127" s="120">
        <f t="shared" si="938"/>
        <v>631164.90953907848</v>
      </c>
      <c r="AS127" s="120">
        <f t="shared" si="938"/>
        <v>650492.70772986009</v>
      </c>
      <c r="AT127" s="120">
        <f t="shared" si="938"/>
        <v>669892.56188445725</v>
      </c>
      <c r="AU127" s="120">
        <f t="shared" si="938"/>
        <v>689365.91312214651</v>
      </c>
      <c r="AV127" s="120">
        <f t="shared" si="938"/>
        <v>708914.23138458934</v>
      </c>
      <c r="AW127" s="120">
        <f t="shared" si="938"/>
        <v>728539.01601228118</v>
      </c>
      <c r="AX127" s="120">
        <f t="shared" si="938"/>
        <v>748241.79633252684</v>
      </c>
      <c r="AY127" s="120">
        <f t="shared" si="938"/>
        <v>768024.13225917739</v>
      </c>
      <c r="AZ127" s="120">
        <f t="shared" si="938"/>
        <v>787887.61490436085</v>
      </c>
      <c r="BA127" s="120">
        <f t="shared" si="938"/>
        <v>807833.86720244808</v>
      </c>
      <c r="BB127" s="120">
        <f t="shared" si="938"/>
        <v>827864.54454649705</v>
      </c>
      <c r="BC127" s="120">
        <f t="shared" si="938"/>
        <v>847981.33543742704</v>
      </c>
      <c r="BD127" s="120">
        <f t="shared" si="938"/>
        <v>868185.96214617556</v>
      </c>
      <c r="BE127" s="120">
        <f t="shared" si="938"/>
        <v>888480.1813890991</v>
      </c>
      <c r="BF127" s="120">
        <f t="shared" si="938"/>
        <v>908865.78501688107</v>
      </c>
      <c r="BG127" s="120">
        <f t="shared" si="938"/>
        <v>929344.60071721871</v>
      </c>
      <c r="BH127" s="120">
        <f t="shared" si="938"/>
        <v>949918.49273156305</v>
      </c>
      <c r="BI127" s="120">
        <f t="shared" si="938"/>
        <v>970589.3625861943</v>
      </c>
      <c r="BJ127" s="120">
        <f t="shared" si="938"/>
        <v>991359.14983791823</v>
      </c>
    </row>
    <row r="129" spans="1:62" ht="34" x14ac:dyDescent="0.25">
      <c r="A129" s="9" t="s">
        <v>244</v>
      </c>
      <c r="B129" s="62" t="s">
        <v>232</v>
      </c>
      <c r="C129" s="62">
        <v>43831</v>
      </c>
      <c r="D129" s="62">
        <v>43862</v>
      </c>
      <c r="E129" s="62">
        <v>43891</v>
      </c>
      <c r="F129" s="62">
        <v>43922</v>
      </c>
      <c r="G129" s="62">
        <v>43952</v>
      </c>
      <c r="H129" s="62">
        <v>43983</v>
      </c>
      <c r="I129" s="62">
        <v>44013</v>
      </c>
      <c r="J129" s="62">
        <v>44044</v>
      </c>
      <c r="K129" s="62">
        <v>44075</v>
      </c>
      <c r="L129" s="62">
        <v>44105</v>
      </c>
      <c r="M129" s="62">
        <v>44136</v>
      </c>
      <c r="N129" s="62">
        <v>44166</v>
      </c>
      <c r="O129" s="62">
        <v>44197</v>
      </c>
      <c r="P129" s="62">
        <v>44228</v>
      </c>
      <c r="Q129" s="62">
        <v>44256</v>
      </c>
      <c r="R129" s="62">
        <v>44287</v>
      </c>
      <c r="S129" s="62">
        <v>44317</v>
      </c>
      <c r="T129" s="62">
        <v>44348</v>
      </c>
      <c r="U129" s="62">
        <v>44378</v>
      </c>
      <c r="V129" s="62">
        <v>44409</v>
      </c>
      <c r="W129" s="62">
        <v>44440</v>
      </c>
      <c r="X129" s="62">
        <v>44470</v>
      </c>
      <c r="Y129" s="62">
        <v>44501</v>
      </c>
      <c r="Z129" s="62">
        <v>44531</v>
      </c>
      <c r="AA129" s="62">
        <v>44562</v>
      </c>
      <c r="AB129" s="62">
        <v>44593</v>
      </c>
      <c r="AC129" s="62">
        <v>44621</v>
      </c>
      <c r="AD129" s="62">
        <v>44652</v>
      </c>
      <c r="AE129" s="62">
        <v>44682</v>
      </c>
      <c r="AF129" s="62">
        <v>44713</v>
      </c>
      <c r="AG129" s="62">
        <v>44743</v>
      </c>
      <c r="AH129" s="62">
        <v>44774</v>
      </c>
      <c r="AI129" s="62">
        <v>44805</v>
      </c>
      <c r="AJ129" s="62">
        <v>44835</v>
      </c>
      <c r="AK129" s="62">
        <v>44866</v>
      </c>
      <c r="AL129" s="62">
        <v>44896</v>
      </c>
      <c r="AM129" s="62">
        <v>44927</v>
      </c>
      <c r="AN129" s="62">
        <v>44958</v>
      </c>
      <c r="AO129" s="62">
        <v>44986</v>
      </c>
      <c r="AP129" s="62">
        <v>45017</v>
      </c>
      <c r="AQ129" s="62">
        <v>45047</v>
      </c>
      <c r="AR129" s="62">
        <v>45078</v>
      </c>
      <c r="AS129" s="62">
        <v>45108</v>
      </c>
      <c r="AT129" s="62">
        <v>45139</v>
      </c>
      <c r="AU129" s="62">
        <v>45170</v>
      </c>
      <c r="AV129" s="62">
        <v>45200</v>
      </c>
      <c r="AW129" s="62">
        <v>45231</v>
      </c>
      <c r="AX129" s="62">
        <v>45261</v>
      </c>
      <c r="AY129" s="62">
        <v>45292</v>
      </c>
      <c r="AZ129" s="62">
        <v>45323</v>
      </c>
      <c r="BA129" s="62">
        <v>45352</v>
      </c>
      <c r="BB129" s="62">
        <v>45383</v>
      </c>
      <c r="BC129" s="62">
        <v>45413</v>
      </c>
      <c r="BD129" s="62">
        <v>45444</v>
      </c>
      <c r="BE129" s="62">
        <v>45474</v>
      </c>
      <c r="BF129" s="62">
        <v>45505</v>
      </c>
      <c r="BG129" s="62">
        <v>45536</v>
      </c>
      <c r="BH129" s="62">
        <v>45566</v>
      </c>
      <c r="BI129" s="62">
        <v>45597</v>
      </c>
      <c r="BJ129" s="62">
        <v>45627</v>
      </c>
    </row>
    <row r="130" spans="1:62" outlineLevel="1" x14ac:dyDescent="0.25">
      <c r="A130" s="18" t="s">
        <v>178</v>
      </c>
      <c r="B130" s="124">
        <f>B115</f>
        <v>8832</v>
      </c>
      <c r="C130" s="116">
        <f t="shared" ref="C130:R130" si="939">C115/$B$130</f>
        <v>0.20606884057971014</v>
      </c>
      <c r="D130" s="116">
        <f t="shared" si="939"/>
        <v>0.41213768115942029</v>
      </c>
      <c r="E130" s="116">
        <f t="shared" si="939"/>
        <v>0.61820652173913049</v>
      </c>
      <c r="F130" s="116">
        <f t="shared" si="939"/>
        <v>0.82427536231884058</v>
      </c>
      <c r="G130" s="116">
        <f t="shared" si="939"/>
        <v>1.0303442028985508</v>
      </c>
      <c r="H130" s="116">
        <f t="shared" si="939"/>
        <v>1.236413043478261</v>
      </c>
      <c r="I130" s="116">
        <f t="shared" si="939"/>
        <v>1.442481884057971</v>
      </c>
      <c r="J130" s="116">
        <f t="shared" si="939"/>
        <v>1.6485507246376812</v>
      </c>
      <c r="K130" s="116">
        <f t="shared" si="939"/>
        <v>1.8546195652173914</v>
      </c>
      <c r="L130" s="116">
        <f t="shared" si="939"/>
        <v>2.0606884057971016</v>
      </c>
      <c r="M130" s="116">
        <f t="shared" si="939"/>
        <v>2.2667572463768115</v>
      </c>
      <c r="N130" s="116">
        <f t="shared" si="939"/>
        <v>2.472826086956522</v>
      </c>
      <c r="O130" s="116">
        <f t="shared" si="939"/>
        <v>2.6788949275362319</v>
      </c>
      <c r="P130" s="116">
        <f t="shared" si="939"/>
        <v>2.8849637681159419</v>
      </c>
      <c r="Q130" s="116">
        <f t="shared" si="939"/>
        <v>3.0910326086956523</v>
      </c>
      <c r="R130" s="116">
        <f t="shared" si="939"/>
        <v>3.2971014492753623</v>
      </c>
      <c r="S130" s="116">
        <f t="shared" ref="S130:BJ130" si="940">S115/$B$130</f>
        <v>3.5031702898550723</v>
      </c>
      <c r="T130" s="116">
        <f t="shared" si="940"/>
        <v>3.7092391304347827</v>
      </c>
      <c r="U130" s="116">
        <f t="shared" si="940"/>
        <v>3.9153079710144927</v>
      </c>
      <c r="V130" s="116">
        <f t="shared" si="940"/>
        <v>4.1213768115942031</v>
      </c>
      <c r="W130" s="116">
        <f t="shared" si="940"/>
        <v>4.3274456521739131</v>
      </c>
      <c r="X130" s="116">
        <f t="shared" si="940"/>
        <v>4.5335144927536231</v>
      </c>
      <c r="Y130" s="116">
        <f t="shared" si="940"/>
        <v>4.739583333333333</v>
      </c>
      <c r="Z130" s="116">
        <f t="shared" si="940"/>
        <v>4.9456521739130439</v>
      </c>
      <c r="AA130" s="116">
        <f t="shared" si="940"/>
        <v>5.1517210144927539</v>
      </c>
      <c r="AB130" s="116">
        <f t="shared" si="940"/>
        <v>5.3577898550724639</v>
      </c>
      <c r="AC130" s="116">
        <f t="shared" si="940"/>
        <v>5.5638586956521738</v>
      </c>
      <c r="AD130" s="116">
        <f t="shared" si="940"/>
        <v>5.7699275362318838</v>
      </c>
      <c r="AE130" s="116">
        <f t="shared" si="940"/>
        <v>5.9759963768115938</v>
      </c>
      <c r="AF130" s="116">
        <f t="shared" si="940"/>
        <v>6.1820652173913047</v>
      </c>
      <c r="AG130" s="116">
        <f t="shared" si="940"/>
        <v>6.3881340579710146</v>
      </c>
      <c r="AH130" s="116">
        <f t="shared" si="940"/>
        <v>6.5942028985507246</v>
      </c>
      <c r="AI130" s="116">
        <f t="shared" si="940"/>
        <v>6.8002717391304346</v>
      </c>
      <c r="AJ130" s="116">
        <f t="shared" si="940"/>
        <v>7.0063405797101446</v>
      </c>
      <c r="AK130" s="116">
        <f t="shared" si="940"/>
        <v>7.2124094202898554</v>
      </c>
      <c r="AL130" s="116">
        <f t="shared" si="940"/>
        <v>7.4184782608695654</v>
      </c>
      <c r="AM130" s="116">
        <f t="shared" si="940"/>
        <v>7.6245471014492754</v>
      </c>
      <c r="AN130" s="116">
        <f t="shared" si="940"/>
        <v>7.8306159420289854</v>
      </c>
      <c r="AO130" s="116">
        <f t="shared" si="940"/>
        <v>8.0366847826086953</v>
      </c>
      <c r="AP130" s="116">
        <f t="shared" si="940"/>
        <v>8.2427536231884062</v>
      </c>
      <c r="AQ130" s="116">
        <f t="shared" si="940"/>
        <v>8.4488224637681153</v>
      </c>
      <c r="AR130" s="116">
        <f t="shared" si="940"/>
        <v>8.6548913043478262</v>
      </c>
      <c r="AS130" s="116">
        <f t="shared" si="940"/>
        <v>8.860960144927537</v>
      </c>
      <c r="AT130" s="116">
        <f t="shared" si="940"/>
        <v>9.0670289855072461</v>
      </c>
      <c r="AU130" s="116">
        <f t="shared" si="940"/>
        <v>9.273097826086957</v>
      </c>
      <c r="AV130" s="116">
        <f t="shared" si="940"/>
        <v>9.4791666666666661</v>
      </c>
      <c r="AW130" s="116">
        <f t="shared" si="940"/>
        <v>9.6852355072463769</v>
      </c>
      <c r="AX130" s="116">
        <f t="shared" si="940"/>
        <v>9.8913043478260878</v>
      </c>
      <c r="AY130" s="116">
        <f t="shared" si="940"/>
        <v>10.097373188405797</v>
      </c>
      <c r="AZ130" s="116">
        <f t="shared" si="940"/>
        <v>10.303442028985508</v>
      </c>
      <c r="BA130" s="116">
        <f t="shared" si="940"/>
        <v>10.509510869565217</v>
      </c>
      <c r="BB130" s="116">
        <f t="shared" si="940"/>
        <v>10.715579710144928</v>
      </c>
      <c r="BC130" s="116">
        <f t="shared" si="940"/>
        <v>10.921648550724637</v>
      </c>
      <c r="BD130" s="116">
        <f t="shared" si="940"/>
        <v>11.127717391304348</v>
      </c>
      <c r="BE130" s="116">
        <f t="shared" si="940"/>
        <v>11.333786231884059</v>
      </c>
      <c r="BF130" s="116">
        <f t="shared" si="940"/>
        <v>11.539855072463768</v>
      </c>
      <c r="BG130" s="116">
        <f t="shared" si="940"/>
        <v>11.745923913043478</v>
      </c>
      <c r="BH130" s="116">
        <f t="shared" si="940"/>
        <v>11.951992753623188</v>
      </c>
      <c r="BI130" s="116">
        <f t="shared" si="940"/>
        <v>12.158061594202898</v>
      </c>
      <c r="BJ130" s="116">
        <f t="shared" si="940"/>
        <v>12.364130434782609</v>
      </c>
    </row>
    <row r="131" spans="1:62" outlineLevel="1" x14ac:dyDescent="0.25">
      <c r="A131" s="18" t="s">
        <v>229</v>
      </c>
      <c r="B131" s="124">
        <f t="shared" ref="B131:B141" si="941">B116</f>
        <v>8280</v>
      </c>
      <c r="C131" s="116">
        <f t="shared" ref="C131:R131" si="942">C116/$B$131</f>
        <v>0</v>
      </c>
      <c r="D131" s="116">
        <f t="shared" si="942"/>
        <v>0</v>
      </c>
      <c r="E131" s="116">
        <f t="shared" si="942"/>
        <v>0</v>
      </c>
      <c r="F131" s="116">
        <f t="shared" si="942"/>
        <v>0.21980676328502416</v>
      </c>
      <c r="G131" s="116">
        <f t="shared" si="942"/>
        <v>0.43961352657004832</v>
      </c>
      <c r="H131" s="116">
        <f t="shared" si="942"/>
        <v>0.65942028985507251</v>
      </c>
      <c r="I131" s="116">
        <f t="shared" si="942"/>
        <v>0.87922705314009664</v>
      </c>
      <c r="J131" s="116">
        <f t="shared" si="942"/>
        <v>1.0990338164251208</v>
      </c>
      <c r="K131" s="116">
        <f t="shared" si="942"/>
        <v>1.318840579710145</v>
      </c>
      <c r="L131" s="116">
        <f t="shared" si="942"/>
        <v>1.538647342995169</v>
      </c>
      <c r="M131" s="116">
        <f t="shared" si="942"/>
        <v>1.7584541062801933</v>
      </c>
      <c r="N131" s="116">
        <f t="shared" si="942"/>
        <v>1.9782608695652173</v>
      </c>
      <c r="O131" s="116">
        <f t="shared" si="942"/>
        <v>2.1980676328502415</v>
      </c>
      <c r="P131" s="116">
        <f t="shared" si="942"/>
        <v>2.4178743961352658</v>
      </c>
      <c r="Q131" s="116">
        <f t="shared" si="942"/>
        <v>2.63768115942029</v>
      </c>
      <c r="R131" s="116">
        <f t="shared" si="942"/>
        <v>2.8574879227053138</v>
      </c>
      <c r="S131" s="116">
        <f t="shared" ref="S131:BJ131" si="943">S116/$B$131</f>
        <v>3.0772946859903381</v>
      </c>
      <c r="T131" s="116">
        <f t="shared" si="943"/>
        <v>3.2971014492753623</v>
      </c>
      <c r="U131" s="116">
        <f t="shared" si="943"/>
        <v>3.5169082125603865</v>
      </c>
      <c r="V131" s="116">
        <f t="shared" si="943"/>
        <v>3.7367149758454108</v>
      </c>
      <c r="W131" s="116">
        <f t="shared" si="943"/>
        <v>3.9565217391304346</v>
      </c>
      <c r="X131" s="116">
        <f t="shared" si="943"/>
        <v>4.1763285024154593</v>
      </c>
      <c r="Y131" s="116">
        <f t="shared" si="943"/>
        <v>4.3961352657004831</v>
      </c>
      <c r="Z131" s="116">
        <f t="shared" si="943"/>
        <v>4.6159420289855069</v>
      </c>
      <c r="AA131" s="116">
        <f t="shared" si="943"/>
        <v>4.8357487922705316</v>
      </c>
      <c r="AB131" s="116">
        <f t="shared" si="943"/>
        <v>5.0555555555555554</v>
      </c>
      <c r="AC131" s="116">
        <f t="shared" si="943"/>
        <v>5.27536231884058</v>
      </c>
      <c r="AD131" s="116">
        <f t="shared" si="943"/>
        <v>5.4951690821256038</v>
      </c>
      <c r="AE131" s="116">
        <f t="shared" si="943"/>
        <v>5.7149758454106276</v>
      </c>
      <c r="AF131" s="116">
        <f t="shared" si="943"/>
        <v>5.9347826086956523</v>
      </c>
      <c r="AG131" s="116">
        <f t="shared" si="943"/>
        <v>6.1545893719806761</v>
      </c>
      <c r="AH131" s="116">
        <f t="shared" si="943"/>
        <v>6.3743961352657008</v>
      </c>
      <c r="AI131" s="116">
        <f t="shared" si="943"/>
        <v>6.5942028985507246</v>
      </c>
      <c r="AJ131" s="116">
        <f t="shared" si="943"/>
        <v>6.8140096618357484</v>
      </c>
      <c r="AK131" s="116">
        <f t="shared" si="943"/>
        <v>7.0338164251207731</v>
      </c>
      <c r="AL131" s="116">
        <f t="shared" si="943"/>
        <v>7.2536231884057969</v>
      </c>
      <c r="AM131" s="116">
        <f t="shared" si="943"/>
        <v>7.4734299516908216</v>
      </c>
      <c r="AN131" s="116">
        <f t="shared" si="943"/>
        <v>7.6932367149758454</v>
      </c>
      <c r="AO131" s="116">
        <f t="shared" si="943"/>
        <v>7.9130434782608692</v>
      </c>
      <c r="AP131" s="116">
        <f t="shared" si="943"/>
        <v>8.1328502415458939</v>
      </c>
      <c r="AQ131" s="116">
        <f t="shared" si="943"/>
        <v>8.3526570048309186</v>
      </c>
      <c r="AR131" s="116">
        <f t="shared" si="943"/>
        <v>8.5724637681159415</v>
      </c>
      <c r="AS131" s="116">
        <f t="shared" si="943"/>
        <v>8.7922705314009661</v>
      </c>
      <c r="AT131" s="116">
        <f t="shared" si="943"/>
        <v>9.0120772946859908</v>
      </c>
      <c r="AU131" s="116">
        <f t="shared" si="943"/>
        <v>9.2318840579710137</v>
      </c>
      <c r="AV131" s="116">
        <f t="shared" si="943"/>
        <v>9.4516908212560384</v>
      </c>
      <c r="AW131" s="116">
        <f t="shared" si="943"/>
        <v>9.6714975845410631</v>
      </c>
      <c r="AX131" s="116">
        <f t="shared" si="943"/>
        <v>9.8913043478260878</v>
      </c>
      <c r="AY131" s="116">
        <f t="shared" si="943"/>
        <v>10.111111111111111</v>
      </c>
      <c r="AZ131" s="116">
        <f t="shared" si="943"/>
        <v>10.330917874396135</v>
      </c>
      <c r="BA131" s="116">
        <f t="shared" si="943"/>
        <v>10.55072463768116</v>
      </c>
      <c r="BB131" s="116">
        <f t="shared" si="943"/>
        <v>10.770531400966183</v>
      </c>
      <c r="BC131" s="116">
        <f t="shared" si="943"/>
        <v>10.990338164251208</v>
      </c>
      <c r="BD131" s="116">
        <f t="shared" si="943"/>
        <v>11.210144927536232</v>
      </c>
      <c r="BE131" s="116">
        <f t="shared" si="943"/>
        <v>11.429951690821255</v>
      </c>
      <c r="BF131" s="116">
        <f t="shared" si="943"/>
        <v>11.64975845410628</v>
      </c>
      <c r="BG131" s="116">
        <f t="shared" si="943"/>
        <v>11.869565217391305</v>
      </c>
      <c r="BH131" s="116">
        <f t="shared" si="943"/>
        <v>12.089371980676329</v>
      </c>
      <c r="BI131" s="116">
        <f t="shared" si="943"/>
        <v>12.309178743961352</v>
      </c>
      <c r="BJ131" s="116">
        <f t="shared" si="943"/>
        <v>12.528985507246377</v>
      </c>
    </row>
    <row r="132" spans="1:62" outlineLevel="1" x14ac:dyDescent="0.25">
      <c r="A132" s="18" t="s">
        <v>227</v>
      </c>
      <c r="B132" s="124">
        <f t="shared" si="941"/>
        <v>5520</v>
      </c>
      <c r="C132" s="116">
        <f t="shared" ref="C132:R132" si="944">C117/$B$132</f>
        <v>0</v>
      </c>
      <c r="D132" s="116">
        <f t="shared" si="944"/>
        <v>0</v>
      </c>
      <c r="E132" s="116">
        <f t="shared" si="944"/>
        <v>0</v>
      </c>
      <c r="F132" s="116">
        <f t="shared" si="944"/>
        <v>0</v>
      </c>
      <c r="G132" s="116">
        <f t="shared" si="944"/>
        <v>0</v>
      </c>
      <c r="H132" s="116">
        <f t="shared" si="944"/>
        <v>0</v>
      </c>
      <c r="I132" s="116">
        <f t="shared" si="944"/>
        <v>0</v>
      </c>
      <c r="J132" s="116">
        <f t="shared" si="944"/>
        <v>0.65942028985507251</v>
      </c>
      <c r="K132" s="116">
        <f t="shared" si="944"/>
        <v>1.318840579710145</v>
      </c>
      <c r="L132" s="116">
        <f t="shared" si="944"/>
        <v>1.9782608695652173</v>
      </c>
      <c r="M132" s="116">
        <f t="shared" si="944"/>
        <v>2.63768115942029</v>
      </c>
      <c r="N132" s="116">
        <f t="shared" si="944"/>
        <v>3.2971014492753623</v>
      </c>
      <c r="O132" s="116">
        <f t="shared" si="944"/>
        <v>3.9565217391304346</v>
      </c>
      <c r="P132" s="116">
        <f t="shared" si="944"/>
        <v>4.6159420289855069</v>
      </c>
      <c r="Q132" s="116">
        <f t="shared" si="944"/>
        <v>5.27536231884058</v>
      </c>
      <c r="R132" s="116">
        <f t="shared" si="944"/>
        <v>5.9347826086956523</v>
      </c>
      <c r="S132" s="116">
        <f t="shared" ref="S132:BJ132" si="945">S117/$B$132</f>
        <v>6.5942028985507246</v>
      </c>
      <c r="T132" s="116">
        <f t="shared" si="945"/>
        <v>7.2536231884057969</v>
      </c>
      <c r="U132" s="116">
        <f t="shared" si="945"/>
        <v>7.9130434782608692</v>
      </c>
      <c r="V132" s="116">
        <f t="shared" si="945"/>
        <v>8.5724637681159415</v>
      </c>
      <c r="W132" s="116">
        <f t="shared" si="945"/>
        <v>9.2318840579710137</v>
      </c>
      <c r="X132" s="116">
        <f t="shared" si="945"/>
        <v>9.8913043478260878</v>
      </c>
      <c r="Y132" s="116">
        <f t="shared" si="945"/>
        <v>10.55072463768116</v>
      </c>
      <c r="Z132" s="116">
        <f t="shared" si="945"/>
        <v>11.210144927536232</v>
      </c>
      <c r="AA132" s="116">
        <f t="shared" si="945"/>
        <v>11.869565217391305</v>
      </c>
      <c r="AB132" s="116">
        <f t="shared" si="945"/>
        <v>12.528985507246377</v>
      </c>
      <c r="AC132" s="116">
        <f t="shared" si="945"/>
        <v>13.188405797101449</v>
      </c>
      <c r="AD132" s="116">
        <f t="shared" si="945"/>
        <v>13.847826086956522</v>
      </c>
      <c r="AE132" s="116">
        <f t="shared" si="945"/>
        <v>14.507246376811594</v>
      </c>
      <c r="AF132" s="116">
        <f t="shared" si="945"/>
        <v>15.166666666666666</v>
      </c>
      <c r="AG132" s="116">
        <f t="shared" si="945"/>
        <v>15.826086956521738</v>
      </c>
      <c r="AH132" s="116">
        <f t="shared" si="945"/>
        <v>16.485507246376812</v>
      </c>
      <c r="AI132" s="116">
        <f t="shared" si="945"/>
        <v>17.144927536231883</v>
      </c>
      <c r="AJ132" s="116">
        <f t="shared" si="945"/>
        <v>17.804347826086957</v>
      </c>
      <c r="AK132" s="116">
        <f t="shared" si="945"/>
        <v>18.463768115942027</v>
      </c>
      <c r="AL132" s="116">
        <f t="shared" si="945"/>
        <v>19.123188405797102</v>
      </c>
      <c r="AM132" s="116">
        <f t="shared" si="945"/>
        <v>19.782608695652176</v>
      </c>
      <c r="AN132" s="116">
        <f t="shared" si="945"/>
        <v>20.442028985507246</v>
      </c>
      <c r="AO132" s="116">
        <f t="shared" si="945"/>
        <v>21.10144927536232</v>
      </c>
      <c r="AP132" s="116">
        <f t="shared" si="945"/>
        <v>21.760869565217391</v>
      </c>
      <c r="AQ132" s="116">
        <f t="shared" si="945"/>
        <v>22.420289855072465</v>
      </c>
      <c r="AR132" s="116">
        <f t="shared" si="945"/>
        <v>23.079710144927535</v>
      </c>
      <c r="AS132" s="116">
        <f t="shared" si="945"/>
        <v>23.739130434782609</v>
      </c>
      <c r="AT132" s="116">
        <f t="shared" si="945"/>
        <v>24.39855072463768</v>
      </c>
      <c r="AU132" s="116">
        <f t="shared" si="945"/>
        <v>25.057971014492754</v>
      </c>
      <c r="AV132" s="116">
        <f t="shared" si="945"/>
        <v>25.717391304347824</v>
      </c>
      <c r="AW132" s="116">
        <f t="shared" si="945"/>
        <v>26.376811594202898</v>
      </c>
      <c r="AX132" s="116">
        <f t="shared" si="945"/>
        <v>27.036231884057973</v>
      </c>
      <c r="AY132" s="116">
        <f t="shared" si="945"/>
        <v>27.695652173913043</v>
      </c>
      <c r="AZ132" s="116">
        <f t="shared" si="945"/>
        <v>28.355072463768117</v>
      </c>
      <c r="BA132" s="116">
        <f t="shared" si="945"/>
        <v>29.014492753623188</v>
      </c>
      <c r="BB132" s="116">
        <f t="shared" si="945"/>
        <v>29.673913043478262</v>
      </c>
      <c r="BC132" s="116">
        <f t="shared" si="945"/>
        <v>30.333333333333332</v>
      </c>
      <c r="BD132" s="116">
        <f t="shared" si="945"/>
        <v>30.992753623188406</v>
      </c>
      <c r="BE132" s="116">
        <f t="shared" si="945"/>
        <v>31.652173913043477</v>
      </c>
      <c r="BF132" s="116">
        <f t="shared" si="945"/>
        <v>32.311594202898547</v>
      </c>
      <c r="BG132" s="116">
        <f t="shared" si="945"/>
        <v>32.971014492753625</v>
      </c>
      <c r="BH132" s="116">
        <f t="shared" si="945"/>
        <v>33.630434782608695</v>
      </c>
      <c r="BI132" s="116">
        <f t="shared" si="945"/>
        <v>34.289855072463766</v>
      </c>
      <c r="BJ132" s="116">
        <f t="shared" si="945"/>
        <v>34.949275362318843</v>
      </c>
    </row>
    <row r="133" spans="1:62" outlineLevel="1" x14ac:dyDescent="0.25">
      <c r="A133" s="18" t="s">
        <v>230</v>
      </c>
      <c r="B133" s="124">
        <f t="shared" si="941"/>
        <v>4232</v>
      </c>
      <c r="C133" s="116">
        <f t="shared" ref="C133:R133" si="946">C118/$B$133</f>
        <v>0</v>
      </c>
      <c r="D133" s="116">
        <f t="shared" si="946"/>
        <v>0</v>
      </c>
      <c r="E133" s="116">
        <f t="shared" si="946"/>
        <v>0</v>
      </c>
      <c r="F133" s="116">
        <f t="shared" si="946"/>
        <v>0</v>
      </c>
      <c r="G133" s="116">
        <f t="shared" si="946"/>
        <v>0</v>
      </c>
      <c r="H133" s="116">
        <f t="shared" si="946"/>
        <v>0</v>
      </c>
      <c r="I133" s="116">
        <f t="shared" si="946"/>
        <v>0</v>
      </c>
      <c r="J133" s="116">
        <f t="shared" si="946"/>
        <v>0</v>
      </c>
      <c r="K133" s="116">
        <f t="shared" si="946"/>
        <v>0</v>
      </c>
      <c r="L133" s="116">
        <f t="shared" si="946"/>
        <v>0.46077504725897922</v>
      </c>
      <c r="M133" s="116">
        <f t="shared" si="946"/>
        <v>0.92155009451795844</v>
      </c>
      <c r="N133" s="116">
        <f t="shared" si="946"/>
        <v>1.3823251417769375</v>
      </c>
      <c r="O133" s="116">
        <f t="shared" si="946"/>
        <v>1.8431001890359169</v>
      </c>
      <c r="P133" s="116">
        <f t="shared" si="946"/>
        <v>2.3038752362948962</v>
      </c>
      <c r="Q133" s="116">
        <f t="shared" si="946"/>
        <v>2.7646502835538751</v>
      </c>
      <c r="R133" s="116">
        <f t="shared" si="946"/>
        <v>3.2254253308128544</v>
      </c>
      <c r="S133" s="116">
        <f t="shared" ref="S133:BJ133" si="947">S118/$B$133</f>
        <v>3.6862003780718338</v>
      </c>
      <c r="T133" s="116">
        <f t="shared" si="947"/>
        <v>4.1469754253308126</v>
      </c>
      <c r="U133" s="116">
        <f t="shared" si="947"/>
        <v>4.6077504725897924</v>
      </c>
      <c r="V133" s="116">
        <f t="shared" si="947"/>
        <v>5.0685255198487713</v>
      </c>
      <c r="W133" s="116">
        <f t="shared" si="947"/>
        <v>5.5293005671077502</v>
      </c>
      <c r="X133" s="116">
        <f t="shared" si="947"/>
        <v>5.99007561436673</v>
      </c>
      <c r="Y133" s="116">
        <f t="shared" si="947"/>
        <v>6.4508506616257089</v>
      </c>
      <c r="Z133" s="116">
        <f t="shared" si="947"/>
        <v>6.9116257088846877</v>
      </c>
      <c r="AA133" s="116">
        <f t="shared" si="947"/>
        <v>7.3724007561436675</v>
      </c>
      <c r="AB133" s="116">
        <f t="shared" si="947"/>
        <v>7.8331758034026464</v>
      </c>
      <c r="AC133" s="116">
        <f t="shared" si="947"/>
        <v>8.2939508506616253</v>
      </c>
      <c r="AD133" s="116">
        <f t="shared" si="947"/>
        <v>8.7547258979206042</v>
      </c>
      <c r="AE133" s="116">
        <f t="shared" si="947"/>
        <v>9.2155009451795848</v>
      </c>
      <c r="AF133" s="116">
        <f t="shared" si="947"/>
        <v>9.6762759924385637</v>
      </c>
      <c r="AG133" s="116">
        <f t="shared" si="947"/>
        <v>10.137051039697543</v>
      </c>
      <c r="AH133" s="116">
        <f t="shared" si="947"/>
        <v>10.597826086956522</v>
      </c>
      <c r="AI133" s="116">
        <f t="shared" si="947"/>
        <v>11.0586011342155</v>
      </c>
      <c r="AJ133" s="116">
        <f t="shared" si="947"/>
        <v>11.519376181474479</v>
      </c>
      <c r="AK133" s="116">
        <f t="shared" si="947"/>
        <v>11.98015122873346</v>
      </c>
      <c r="AL133" s="116">
        <f t="shared" si="947"/>
        <v>12.440926275992439</v>
      </c>
      <c r="AM133" s="116">
        <f t="shared" si="947"/>
        <v>12.901701323251418</v>
      </c>
      <c r="AN133" s="116">
        <f t="shared" si="947"/>
        <v>13.362476370510397</v>
      </c>
      <c r="AO133" s="116">
        <f t="shared" si="947"/>
        <v>13.823251417769375</v>
      </c>
      <c r="AP133" s="116">
        <f t="shared" si="947"/>
        <v>14.284026465028356</v>
      </c>
      <c r="AQ133" s="116">
        <f t="shared" si="947"/>
        <v>14.744801512287335</v>
      </c>
      <c r="AR133" s="116">
        <f t="shared" si="947"/>
        <v>15.205576559546314</v>
      </c>
      <c r="AS133" s="116">
        <f t="shared" si="947"/>
        <v>15.666351606805293</v>
      </c>
      <c r="AT133" s="116">
        <f t="shared" si="947"/>
        <v>16.127126654064273</v>
      </c>
      <c r="AU133" s="116">
        <f t="shared" si="947"/>
        <v>16.587901701323251</v>
      </c>
      <c r="AV133" s="116">
        <f t="shared" si="947"/>
        <v>17.048676748582231</v>
      </c>
      <c r="AW133" s="116">
        <f t="shared" si="947"/>
        <v>17.509451795841208</v>
      </c>
      <c r="AX133" s="116">
        <f t="shared" si="947"/>
        <v>17.970226843100189</v>
      </c>
      <c r="AY133" s="116">
        <f t="shared" si="947"/>
        <v>18.43100189035917</v>
      </c>
      <c r="AZ133" s="116">
        <f t="shared" si="947"/>
        <v>18.891776937618147</v>
      </c>
      <c r="BA133" s="116">
        <f t="shared" si="947"/>
        <v>19.352551984877127</v>
      </c>
      <c r="BB133" s="116">
        <f t="shared" si="947"/>
        <v>19.813327032136105</v>
      </c>
      <c r="BC133" s="116">
        <f t="shared" si="947"/>
        <v>20.274102079395085</v>
      </c>
      <c r="BD133" s="116">
        <f t="shared" si="947"/>
        <v>20.734877126654066</v>
      </c>
      <c r="BE133" s="116">
        <f t="shared" si="947"/>
        <v>21.195652173913043</v>
      </c>
      <c r="BF133" s="116">
        <f t="shared" si="947"/>
        <v>21.656427221172024</v>
      </c>
      <c r="BG133" s="116">
        <f t="shared" si="947"/>
        <v>22.117202268431001</v>
      </c>
      <c r="BH133" s="116">
        <f t="shared" si="947"/>
        <v>22.577977315689981</v>
      </c>
      <c r="BI133" s="116">
        <f t="shared" si="947"/>
        <v>23.038752362948959</v>
      </c>
      <c r="BJ133" s="116">
        <f t="shared" si="947"/>
        <v>23.499527410207939</v>
      </c>
    </row>
    <row r="134" spans="1:62" outlineLevel="1" x14ac:dyDescent="0.25">
      <c r="A134" s="18" t="s">
        <v>230</v>
      </c>
      <c r="B134" s="124">
        <f t="shared" si="941"/>
        <v>4232</v>
      </c>
      <c r="C134" s="116">
        <f t="shared" ref="C134:R134" si="948">C119/$B$134</f>
        <v>0</v>
      </c>
      <c r="D134" s="116">
        <f t="shared" si="948"/>
        <v>0</v>
      </c>
      <c r="E134" s="116">
        <f t="shared" si="948"/>
        <v>0</v>
      </c>
      <c r="F134" s="116">
        <f t="shared" si="948"/>
        <v>0</v>
      </c>
      <c r="G134" s="116">
        <f t="shared" si="948"/>
        <v>0</v>
      </c>
      <c r="H134" s="116">
        <f t="shared" si="948"/>
        <v>0</v>
      </c>
      <c r="I134" s="116">
        <f t="shared" si="948"/>
        <v>0</v>
      </c>
      <c r="J134" s="116">
        <f t="shared" si="948"/>
        <v>0</v>
      </c>
      <c r="K134" s="116">
        <f t="shared" si="948"/>
        <v>0</v>
      </c>
      <c r="L134" s="116">
        <f t="shared" si="948"/>
        <v>0</v>
      </c>
      <c r="M134" s="116">
        <f t="shared" si="948"/>
        <v>0.46077504725897922</v>
      </c>
      <c r="N134" s="116">
        <f t="shared" si="948"/>
        <v>0.92155009451795844</v>
      </c>
      <c r="O134" s="116">
        <f t="shared" si="948"/>
        <v>1.3823251417769375</v>
      </c>
      <c r="P134" s="116">
        <f t="shared" si="948"/>
        <v>1.8431001890359169</v>
      </c>
      <c r="Q134" s="116">
        <f t="shared" si="948"/>
        <v>2.3038752362948962</v>
      </c>
      <c r="R134" s="116">
        <f t="shared" si="948"/>
        <v>2.7646502835538751</v>
      </c>
      <c r="S134" s="116">
        <f t="shared" ref="S134:BJ134" si="949">S119/$B$134</f>
        <v>3.2254253308128544</v>
      </c>
      <c r="T134" s="116">
        <f t="shared" si="949"/>
        <v>3.6862003780718338</v>
      </c>
      <c r="U134" s="116">
        <f t="shared" si="949"/>
        <v>4.1469754253308126</v>
      </c>
      <c r="V134" s="116">
        <f t="shared" si="949"/>
        <v>4.6077504725897924</v>
      </c>
      <c r="W134" s="116">
        <f t="shared" si="949"/>
        <v>5.0685255198487713</v>
      </c>
      <c r="X134" s="116">
        <f t="shared" si="949"/>
        <v>5.5293005671077502</v>
      </c>
      <c r="Y134" s="116">
        <f t="shared" si="949"/>
        <v>5.99007561436673</v>
      </c>
      <c r="Z134" s="116">
        <f t="shared" si="949"/>
        <v>6.4508506616257089</v>
      </c>
      <c r="AA134" s="116">
        <f t="shared" si="949"/>
        <v>6.9116257088846877</v>
      </c>
      <c r="AB134" s="116">
        <f t="shared" si="949"/>
        <v>7.3724007561436675</v>
      </c>
      <c r="AC134" s="116">
        <f t="shared" si="949"/>
        <v>7.8331758034026464</v>
      </c>
      <c r="AD134" s="116">
        <f t="shared" si="949"/>
        <v>8.2939508506616253</v>
      </c>
      <c r="AE134" s="116">
        <f t="shared" si="949"/>
        <v>8.7547258979206042</v>
      </c>
      <c r="AF134" s="116">
        <f t="shared" si="949"/>
        <v>9.2155009451795848</v>
      </c>
      <c r="AG134" s="116">
        <f t="shared" si="949"/>
        <v>9.6762759924385637</v>
      </c>
      <c r="AH134" s="116">
        <f t="shared" si="949"/>
        <v>10.137051039697543</v>
      </c>
      <c r="AI134" s="116">
        <f t="shared" si="949"/>
        <v>10.597826086956522</v>
      </c>
      <c r="AJ134" s="116">
        <f t="shared" si="949"/>
        <v>11.0586011342155</v>
      </c>
      <c r="AK134" s="116">
        <f t="shared" si="949"/>
        <v>11.519376181474479</v>
      </c>
      <c r="AL134" s="116">
        <f t="shared" si="949"/>
        <v>11.98015122873346</v>
      </c>
      <c r="AM134" s="116">
        <f t="shared" si="949"/>
        <v>12.440926275992439</v>
      </c>
      <c r="AN134" s="116">
        <f t="shared" si="949"/>
        <v>12.901701323251418</v>
      </c>
      <c r="AO134" s="116">
        <f t="shared" si="949"/>
        <v>13.362476370510397</v>
      </c>
      <c r="AP134" s="116">
        <f t="shared" si="949"/>
        <v>13.823251417769375</v>
      </c>
      <c r="AQ134" s="116">
        <f t="shared" si="949"/>
        <v>14.284026465028356</v>
      </c>
      <c r="AR134" s="116">
        <f t="shared" si="949"/>
        <v>14.744801512287335</v>
      </c>
      <c r="AS134" s="116">
        <f t="shared" si="949"/>
        <v>15.205576559546314</v>
      </c>
      <c r="AT134" s="116">
        <f t="shared" si="949"/>
        <v>15.666351606805293</v>
      </c>
      <c r="AU134" s="116">
        <f t="shared" si="949"/>
        <v>16.127126654064273</v>
      </c>
      <c r="AV134" s="116">
        <f t="shared" si="949"/>
        <v>16.587901701323251</v>
      </c>
      <c r="AW134" s="116">
        <f t="shared" si="949"/>
        <v>17.048676748582231</v>
      </c>
      <c r="AX134" s="116">
        <f t="shared" si="949"/>
        <v>17.509451795841208</v>
      </c>
      <c r="AY134" s="116">
        <f t="shared" si="949"/>
        <v>17.970226843100189</v>
      </c>
      <c r="AZ134" s="116">
        <f t="shared" si="949"/>
        <v>18.43100189035917</v>
      </c>
      <c r="BA134" s="116">
        <f t="shared" si="949"/>
        <v>18.891776937618147</v>
      </c>
      <c r="BB134" s="116">
        <f t="shared" si="949"/>
        <v>19.352551984877127</v>
      </c>
      <c r="BC134" s="116">
        <f t="shared" si="949"/>
        <v>19.813327032136105</v>
      </c>
      <c r="BD134" s="116">
        <f t="shared" si="949"/>
        <v>20.274102079395085</v>
      </c>
      <c r="BE134" s="116">
        <f t="shared" si="949"/>
        <v>20.734877126654066</v>
      </c>
      <c r="BF134" s="116">
        <f t="shared" si="949"/>
        <v>21.195652173913043</v>
      </c>
      <c r="BG134" s="116">
        <f t="shared" si="949"/>
        <v>21.656427221172024</v>
      </c>
      <c r="BH134" s="116">
        <f t="shared" si="949"/>
        <v>22.117202268431001</v>
      </c>
      <c r="BI134" s="116">
        <f t="shared" si="949"/>
        <v>22.577977315689981</v>
      </c>
      <c r="BJ134" s="116">
        <f t="shared" si="949"/>
        <v>23.038752362948959</v>
      </c>
    </row>
    <row r="135" spans="1:62" outlineLevel="1" x14ac:dyDescent="0.25">
      <c r="A135" s="18" t="s">
        <v>230</v>
      </c>
      <c r="B135" s="124">
        <f t="shared" si="941"/>
        <v>4232</v>
      </c>
      <c r="C135" s="116">
        <f t="shared" ref="C135:R135" si="950">C120/$B$135</f>
        <v>0</v>
      </c>
      <c r="D135" s="116">
        <f t="shared" si="950"/>
        <v>0</v>
      </c>
      <c r="E135" s="116">
        <f t="shared" si="950"/>
        <v>0</v>
      </c>
      <c r="F135" s="116">
        <f t="shared" si="950"/>
        <v>0</v>
      </c>
      <c r="G135" s="116">
        <f t="shared" si="950"/>
        <v>0</v>
      </c>
      <c r="H135" s="116">
        <f t="shared" si="950"/>
        <v>0</v>
      </c>
      <c r="I135" s="116">
        <f t="shared" si="950"/>
        <v>0</v>
      </c>
      <c r="J135" s="116">
        <f t="shared" si="950"/>
        <v>0</v>
      </c>
      <c r="K135" s="116">
        <f t="shared" si="950"/>
        <v>0</v>
      </c>
      <c r="L135" s="116">
        <f t="shared" si="950"/>
        <v>0</v>
      </c>
      <c r="M135" s="116">
        <f t="shared" si="950"/>
        <v>0</v>
      </c>
      <c r="N135" s="116">
        <f t="shared" si="950"/>
        <v>0.46077504725897922</v>
      </c>
      <c r="O135" s="116">
        <f t="shared" si="950"/>
        <v>0.93076559546313797</v>
      </c>
      <c r="P135" s="116">
        <f t="shared" si="950"/>
        <v>1.41015595463138</v>
      </c>
      <c r="Q135" s="116">
        <f t="shared" si="950"/>
        <v>1.8991341209829866</v>
      </c>
      <c r="R135" s="116">
        <f t="shared" si="950"/>
        <v>2.397891850661626</v>
      </c>
      <c r="S135" s="116">
        <f t="shared" ref="S135:BJ135" si="951">S120/$B$135</f>
        <v>2.9066247349338377</v>
      </c>
      <c r="T135" s="116">
        <f t="shared" si="951"/>
        <v>3.4255322768914938</v>
      </c>
      <c r="U135" s="116">
        <f t="shared" si="951"/>
        <v>3.9548179696883023</v>
      </c>
      <c r="V135" s="116">
        <f t="shared" si="951"/>
        <v>4.4946893763410483</v>
      </c>
      <c r="W135" s="116">
        <f t="shared" si="951"/>
        <v>5.0453582111268487</v>
      </c>
      <c r="X135" s="116">
        <f t="shared" si="951"/>
        <v>5.6070404226083657</v>
      </c>
      <c r="Y135" s="116">
        <f t="shared" si="951"/>
        <v>6.1799562783195121</v>
      </c>
      <c r="Z135" s="116">
        <f t="shared" si="951"/>
        <v>6.7643304511448816</v>
      </c>
      <c r="AA135" s="116">
        <f t="shared" si="951"/>
        <v>7.3603921074267582</v>
      </c>
      <c r="AB135" s="116">
        <f t="shared" si="951"/>
        <v>7.9683749968342727</v>
      </c>
      <c r="AC135" s="116">
        <f t="shared" si="951"/>
        <v>8.5885175440299371</v>
      </c>
      <c r="AD135" s="116">
        <f t="shared" si="951"/>
        <v>9.2210629421695156</v>
      </c>
      <c r="AE135" s="116">
        <f t="shared" si="951"/>
        <v>9.8662592482718861</v>
      </c>
      <c r="AF135" s="116">
        <f t="shared" si="951"/>
        <v>10.524359480496301</v>
      </c>
      <c r="AG135" s="116">
        <f t="shared" si="951"/>
        <v>11.195621717365208</v>
      </c>
      <c r="AH135" s="116">
        <f t="shared" si="951"/>
        <v>11.88030919897149</v>
      </c>
      <c r="AI135" s="116">
        <f t="shared" si="951"/>
        <v>12.5786904302099</v>
      </c>
      <c r="AJ135" s="116">
        <f t="shared" si="951"/>
        <v>13.291039286073076</v>
      </c>
      <c r="AK135" s="116">
        <f t="shared" si="951"/>
        <v>14.017635119053519</v>
      </c>
      <c r="AL135" s="116">
        <f t="shared" si="951"/>
        <v>14.758762868693569</v>
      </c>
      <c r="AM135" s="116">
        <f t="shared" si="951"/>
        <v>15.51471317332642</v>
      </c>
      <c r="AN135" s="116">
        <f t="shared" si="951"/>
        <v>16.285782484051929</v>
      </c>
      <c r="AO135" s="116">
        <f t="shared" si="951"/>
        <v>17.072273180991942</v>
      </c>
      <c r="AP135" s="116">
        <f t="shared" si="951"/>
        <v>17.874493691870761</v>
      </c>
      <c r="AQ135" s="116">
        <f t="shared" si="951"/>
        <v>18.692758612967154</v>
      </c>
      <c r="AR135" s="116">
        <f t="shared" si="951"/>
        <v>19.527388832485478</v>
      </c>
      <c r="AS135" s="116">
        <f t="shared" si="951"/>
        <v>20.378711656394167</v>
      </c>
      <c r="AT135" s="116">
        <f t="shared" si="951"/>
        <v>21.247060936781029</v>
      </c>
      <c r="AU135" s="116">
        <f t="shared" si="951"/>
        <v>22.132777202775628</v>
      </c>
      <c r="AV135" s="116">
        <f t="shared" si="951"/>
        <v>23.036207794090121</v>
      </c>
      <c r="AW135" s="116">
        <f t="shared" si="951"/>
        <v>23.957706997230904</v>
      </c>
      <c r="AX135" s="116">
        <f t="shared" si="951"/>
        <v>24.8976361844345</v>
      </c>
      <c r="AY135" s="116">
        <f t="shared" si="951"/>
        <v>25.856363955382172</v>
      </c>
      <c r="AZ135" s="116">
        <f t="shared" si="951"/>
        <v>26.834266281748796</v>
      </c>
      <c r="BA135" s="116">
        <f t="shared" si="951"/>
        <v>27.83172665464275</v>
      </c>
      <c r="BB135" s="116">
        <f t="shared" si="951"/>
        <v>28.849136234994585</v>
      </c>
      <c r="BC135" s="116">
        <f t="shared" si="951"/>
        <v>29.886894006953458</v>
      </c>
      <c r="BD135" s="116">
        <f t="shared" si="951"/>
        <v>30.945406934351507</v>
      </c>
      <c r="BE135" s="116">
        <f t="shared" si="951"/>
        <v>32.02509012029752</v>
      </c>
      <c r="BF135" s="116">
        <f t="shared" si="951"/>
        <v>33.126366969962454</v>
      </c>
      <c r="BG135" s="116">
        <f t="shared" si="951"/>
        <v>34.249669356620679</v>
      </c>
      <c r="BH135" s="116">
        <f t="shared" si="951"/>
        <v>35.395437791012071</v>
      </c>
      <c r="BI135" s="116">
        <f t="shared" si="951"/>
        <v>36.56412159409129</v>
      </c>
      <c r="BJ135" s="116">
        <f t="shared" si="951"/>
        <v>37.756179073232097</v>
      </c>
    </row>
    <row r="136" spans="1:62" outlineLevel="1" x14ac:dyDescent="0.25">
      <c r="A136" s="18" t="s">
        <v>231</v>
      </c>
      <c r="B136" s="124">
        <f t="shared" si="941"/>
        <v>3128</v>
      </c>
      <c r="C136" s="116">
        <f t="shared" ref="C136:R136" si="952">C121/$B$136</f>
        <v>0</v>
      </c>
      <c r="D136" s="116">
        <f t="shared" si="952"/>
        <v>0</v>
      </c>
      <c r="E136" s="116">
        <f t="shared" si="952"/>
        <v>0</v>
      </c>
      <c r="F136" s="116">
        <f t="shared" si="952"/>
        <v>0</v>
      </c>
      <c r="G136" s="116">
        <f t="shared" si="952"/>
        <v>0</v>
      </c>
      <c r="H136" s="116">
        <f t="shared" si="952"/>
        <v>0</v>
      </c>
      <c r="I136" s="116">
        <f t="shared" si="952"/>
        <v>0</v>
      </c>
      <c r="J136" s="116">
        <f t="shared" si="952"/>
        <v>0</v>
      </c>
      <c r="K136" s="116">
        <f t="shared" si="952"/>
        <v>0.24216751918158563</v>
      </c>
      <c r="L136" s="116">
        <f t="shared" si="952"/>
        <v>0.48433503836317127</v>
      </c>
      <c r="M136" s="116">
        <f t="shared" si="952"/>
        <v>0.7265025575447569</v>
      </c>
      <c r="N136" s="116">
        <f t="shared" si="952"/>
        <v>0.96867007672634253</v>
      </c>
      <c r="O136" s="116">
        <f t="shared" si="952"/>
        <v>1.2108375959079283</v>
      </c>
      <c r="P136" s="116">
        <f t="shared" si="952"/>
        <v>1.4530051150895138</v>
      </c>
      <c r="Q136" s="116">
        <f t="shared" si="952"/>
        <v>1.6951726342710995</v>
      </c>
      <c r="R136" s="116">
        <f t="shared" si="952"/>
        <v>1.9373401534526851</v>
      </c>
      <c r="S136" s="116">
        <f t="shared" ref="S136:BJ136" si="953">S121/$B$136</f>
        <v>2.1795076726342706</v>
      </c>
      <c r="T136" s="116">
        <f t="shared" si="953"/>
        <v>2.4216751918158566</v>
      </c>
      <c r="U136" s="116">
        <f t="shared" si="953"/>
        <v>2.6638427109974421</v>
      </c>
      <c r="V136" s="116">
        <f t="shared" si="953"/>
        <v>2.9060102301790276</v>
      </c>
      <c r="W136" s="116">
        <f t="shared" si="953"/>
        <v>3.1481777493606131</v>
      </c>
      <c r="X136" s="116">
        <f t="shared" si="953"/>
        <v>3.3903452685421991</v>
      </c>
      <c r="Y136" s="116">
        <f t="shared" si="953"/>
        <v>3.6325127877237846</v>
      </c>
      <c r="Z136" s="116">
        <f t="shared" si="953"/>
        <v>3.8746803069053701</v>
      </c>
      <c r="AA136" s="116">
        <f t="shared" si="953"/>
        <v>4.1168478260869561</v>
      </c>
      <c r="AB136" s="116">
        <f t="shared" si="953"/>
        <v>4.3590153452685412</v>
      </c>
      <c r="AC136" s="116">
        <f t="shared" si="953"/>
        <v>4.6011828644501271</v>
      </c>
      <c r="AD136" s="116">
        <f t="shared" si="953"/>
        <v>4.8433503836317131</v>
      </c>
      <c r="AE136" s="116">
        <f t="shared" si="953"/>
        <v>5.0855179028132991</v>
      </c>
      <c r="AF136" s="116">
        <f t="shared" si="953"/>
        <v>5.3276854219948842</v>
      </c>
      <c r="AG136" s="116">
        <f t="shared" si="953"/>
        <v>5.5698529411764692</v>
      </c>
      <c r="AH136" s="116">
        <f t="shared" si="953"/>
        <v>5.8120204603580552</v>
      </c>
      <c r="AI136" s="116">
        <f t="shared" si="953"/>
        <v>6.0541879795396412</v>
      </c>
      <c r="AJ136" s="116">
        <f t="shared" si="953"/>
        <v>6.2963554987212262</v>
      </c>
      <c r="AK136" s="116">
        <f t="shared" si="953"/>
        <v>6.5385230179028122</v>
      </c>
      <c r="AL136" s="116">
        <f t="shared" si="953"/>
        <v>6.7806905370843982</v>
      </c>
      <c r="AM136" s="116">
        <f t="shared" si="953"/>
        <v>7.0228580562659833</v>
      </c>
      <c r="AN136" s="116">
        <f t="shared" si="953"/>
        <v>7.2650255754475692</v>
      </c>
      <c r="AO136" s="116">
        <f t="shared" si="953"/>
        <v>7.5071930946291552</v>
      </c>
      <c r="AP136" s="116">
        <f t="shared" si="953"/>
        <v>7.7493606138107403</v>
      </c>
      <c r="AQ136" s="116">
        <f t="shared" si="953"/>
        <v>7.9915281329923262</v>
      </c>
      <c r="AR136" s="116">
        <f t="shared" si="953"/>
        <v>8.2336956521739122</v>
      </c>
      <c r="AS136" s="116">
        <f t="shared" si="953"/>
        <v>8.4758631713554973</v>
      </c>
      <c r="AT136" s="116">
        <f t="shared" si="953"/>
        <v>8.7180306905370824</v>
      </c>
      <c r="AU136" s="116">
        <f t="shared" si="953"/>
        <v>8.9601982097186692</v>
      </c>
      <c r="AV136" s="116">
        <f t="shared" si="953"/>
        <v>9.2023657289002543</v>
      </c>
      <c r="AW136" s="116">
        <f t="shared" si="953"/>
        <v>9.4445332480818411</v>
      </c>
      <c r="AX136" s="116">
        <f t="shared" si="953"/>
        <v>9.6867007672634262</v>
      </c>
      <c r="AY136" s="116">
        <f t="shared" si="953"/>
        <v>9.9288682864450113</v>
      </c>
      <c r="AZ136" s="116">
        <f t="shared" si="953"/>
        <v>10.171035805626598</v>
      </c>
      <c r="BA136" s="116">
        <f t="shared" si="953"/>
        <v>10.413203324808183</v>
      </c>
      <c r="BB136" s="116">
        <f t="shared" si="953"/>
        <v>10.655370843989768</v>
      </c>
      <c r="BC136" s="116">
        <f t="shared" si="953"/>
        <v>10.897538363171353</v>
      </c>
      <c r="BD136" s="116">
        <f t="shared" si="953"/>
        <v>11.139705882352938</v>
      </c>
      <c r="BE136" s="116">
        <f t="shared" si="953"/>
        <v>11.381873401534525</v>
      </c>
      <c r="BF136" s="116">
        <f t="shared" si="953"/>
        <v>11.62404092071611</v>
      </c>
      <c r="BG136" s="116">
        <f t="shared" si="953"/>
        <v>11.866208439897695</v>
      </c>
      <c r="BH136" s="116">
        <f t="shared" si="953"/>
        <v>12.108375959079282</v>
      </c>
      <c r="BI136" s="116">
        <f t="shared" si="953"/>
        <v>12.350543478260867</v>
      </c>
      <c r="BJ136" s="116">
        <f t="shared" si="953"/>
        <v>12.592710997442452</v>
      </c>
    </row>
    <row r="137" spans="1:62" outlineLevel="1" x14ac:dyDescent="0.25">
      <c r="A137" s="18" t="s">
        <v>231</v>
      </c>
      <c r="B137" s="124">
        <f t="shared" si="941"/>
        <v>3128</v>
      </c>
      <c r="C137" s="116">
        <f t="shared" ref="C137:R137" si="954">C122/$B$137</f>
        <v>0</v>
      </c>
      <c r="D137" s="116">
        <f t="shared" si="954"/>
        <v>0</v>
      </c>
      <c r="E137" s="116">
        <f t="shared" si="954"/>
        <v>0</v>
      </c>
      <c r="F137" s="116">
        <f t="shared" si="954"/>
        <v>0</v>
      </c>
      <c r="G137" s="116">
        <f t="shared" si="954"/>
        <v>0</v>
      </c>
      <c r="H137" s="116">
        <f t="shared" si="954"/>
        <v>0</v>
      </c>
      <c r="I137" s="116">
        <f t="shared" si="954"/>
        <v>0</v>
      </c>
      <c r="J137" s="116">
        <f t="shared" si="954"/>
        <v>0</v>
      </c>
      <c r="K137" s="116">
        <f t="shared" si="954"/>
        <v>0</v>
      </c>
      <c r="L137" s="116">
        <f t="shared" si="954"/>
        <v>0.24216751918158563</v>
      </c>
      <c r="M137" s="116">
        <f t="shared" si="954"/>
        <v>0.48433503836317127</v>
      </c>
      <c r="N137" s="116">
        <f t="shared" si="954"/>
        <v>0.7265025575447569</v>
      </c>
      <c r="O137" s="116">
        <f t="shared" si="954"/>
        <v>0.96867007672634253</v>
      </c>
      <c r="P137" s="116">
        <f t="shared" si="954"/>
        <v>1.2108375959079283</v>
      </c>
      <c r="Q137" s="116">
        <f t="shared" si="954"/>
        <v>1.4530051150895138</v>
      </c>
      <c r="R137" s="116">
        <f t="shared" si="954"/>
        <v>1.6951726342710995</v>
      </c>
      <c r="S137" s="116">
        <f t="shared" ref="S137:BJ137" si="955">S122/$B$137</f>
        <v>1.9373401534526851</v>
      </c>
      <c r="T137" s="116">
        <f t="shared" si="955"/>
        <v>2.1795076726342706</v>
      </c>
      <c r="U137" s="116">
        <f t="shared" si="955"/>
        <v>2.4216751918158566</v>
      </c>
      <c r="V137" s="116">
        <f t="shared" si="955"/>
        <v>2.6638427109974421</v>
      </c>
      <c r="W137" s="116">
        <f t="shared" si="955"/>
        <v>2.9060102301790276</v>
      </c>
      <c r="X137" s="116">
        <f t="shared" si="955"/>
        <v>3.1481777493606131</v>
      </c>
      <c r="Y137" s="116">
        <f t="shared" si="955"/>
        <v>3.3903452685421991</v>
      </c>
      <c r="Z137" s="116">
        <f t="shared" si="955"/>
        <v>3.6325127877237846</v>
      </c>
      <c r="AA137" s="116">
        <f t="shared" si="955"/>
        <v>3.8746803069053701</v>
      </c>
      <c r="AB137" s="116">
        <f t="shared" si="955"/>
        <v>4.1168478260869561</v>
      </c>
      <c r="AC137" s="116">
        <f t="shared" si="955"/>
        <v>4.3590153452685412</v>
      </c>
      <c r="AD137" s="116">
        <f t="shared" si="955"/>
        <v>4.6011828644501271</v>
      </c>
      <c r="AE137" s="116">
        <f t="shared" si="955"/>
        <v>4.8433503836317131</v>
      </c>
      <c r="AF137" s="116">
        <f t="shared" si="955"/>
        <v>5.0855179028132991</v>
      </c>
      <c r="AG137" s="116">
        <f t="shared" si="955"/>
        <v>5.3276854219948842</v>
      </c>
      <c r="AH137" s="116">
        <f t="shared" si="955"/>
        <v>5.5698529411764692</v>
      </c>
      <c r="AI137" s="116">
        <f t="shared" si="955"/>
        <v>5.8120204603580552</v>
      </c>
      <c r="AJ137" s="116">
        <f t="shared" si="955"/>
        <v>6.0541879795396412</v>
      </c>
      <c r="AK137" s="116">
        <f t="shared" si="955"/>
        <v>6.2963554987212262</v>
      </c>
      <c r="AL137" s="116">
        <f t="shared" si="955"/>
        <v>6.5385230179028122</v>
      </c>
      <c r="AM137" s="116">
        <f t="shared" si="955"/>
        <v>6.7806905370843982</v>
      </c>
      <c r="AN137" s="116">
        <f t="shared" si="955"/>
        <v>7.0228580562659833</v>
      </c>
      <c r="AO137" s="116">
        <f t="shared" si="955"/>
        <v>7.2650255754475692</v>
      </c>
      <c r="AP137" s="116">
        <f t="shared" si="955"/>
        <v>7.5071930946291552</v>
      </c>
      <c r="AQ137" s="116">
        <f t="shared" si="955"/>
        <v>7.7493606138107403</v>
      </c>
      <c r="AR137" s="116">
        <f t="shared" si="955"/>
        <v>7.9915281329923262</v>
      </c>
      <c r="AS137" s="116">
        <f t="shared" si="955"/>
        <v>8.2336956521739122</v>
      </c>
      <c r="AT137" s="116">
        <f t="shared" si="955"/>
        <v>8.4758631713554973</v>
      </c>
      <c r="AU137" s="116">
        <f t="shared" si="955"/>
        <v>8.7180306905370824</v>
      </c>
      <c r="AV137" s="116">
        <f t="shared" si="955"/>
        <v>8.9601982097186692</v>
      </c>
      <c r="AW137" s="116">
        <f t="shared" si="955"/>
        <v>9.2023657289002543</v>
      </c>
      <c r="AX137" s="116">
        <f t="shared" si="955"/>
        <v>9.4445332480818411</v>
      </c>
      <c r="AY137" s="116">
        <f t="shared" si="955"/>
        <v>9.6867007672634262</v>
      </c>
      <c r="AZ137" s="116">
        <f t="shared" si="955"/>
        <v>9.9288682864450113</v>
      </c>
      <c r="BA137" s="116">
        <f t="shared" si="955"/>
        <v>10.171035805626598</v>
      </c>
      <c r="BB137" s="116">
        <f t="shared" si="955"/>
        <v>10.413203324808183</v>
      </c>
      <c r="BC137" s="116">
        <f t="shared" si="955"/>
        <v>10.655370843989768</v>
      </c>
      <c r="BD137" s="116">
        <f t="shared" si="955"/>
        <v>10.897538363171353</v>
      </c>
      <c r="BE137" s="116">
        <f t="shared" si="955"/>
        <v>11.139705882352938</v>
      </c>
      <c r="BF137" s="116">
        <f t="shared" si="955"/>
        <v>11.381873401534525</v>
      </c>
      <c r="BG137" s="116">
        <f t="shared" si="955"/>
        <v>11.62404092071611</v>
      </c>
      <c r="BH137" s="116">
        <f t="shared" si="955"/>
        <v>11.866208439897695</v>
      </c>
      <c r="BI137" s="116">
        <f t="shared" si="955"/>
        <v>12.108375959079282</v>
      </c>
      <c r="BJ137" s="116">
        <f t="shared" si="955"/>
        <v>12.350543478260867</v>
      </c>
    </row>
    <row r="138" spans="1:62" outlineLevel="1" x14ac:dyDescent="0.25">
      <c r="A138" s="18" t="s">
        <v>231</v>
      </c>
      <c r="B138" s="124">
        <f t="shared" si="941"/>
        <v>3128</v>
      </c>
      <c r="C138" s="116">
        <f t="shared" ref="C138:R138" si="956">C123/$B$138</f>
        <v>0</v>
      </c>
      <c r="D138" s="116">
        <f t="shared" si="956"/>
        <v>0</v>
      </c>
      <c r="E138" s="116">
        <f t="shared" si="956"/>
        <v>0</v>
      </c>
      <c r="F138" s="116">
        <f t="shared" si="956"/>
        <v>0</v>
      </c>
      <c r="G138" s="116">
        <f t="shared" si="956"/>
        <v>0</v>
      </c>
      <c r="H138" s="116">
        <f t="shared" si="956"/>
        <v>0</v>
      </c>
      <c r="I138" s="116">
        <f t="shared" si="956"/>
        <v>0</v>
      </c>
      <c r="J138" s="116">
        <f t="shared" si="956"/>
        <v>0</v>
      </c>
      <c r="K138" s="116">
        <f t="shared" si="956"/>
        <v>0</v>
      </c>
      <c r="L138" s="116">
        <f t="shared" si="956"/>
        <v>0.24216751918158563</v>
      </c>
      <c r="M138" s="116">
        <f t="shared" si="956"/>
        <v>0.48433503836317127</v>
      </c>
      <c r="N138" s="116">
        <f t="shared" si="956"/>
        <v>0.7265025575447569</v>
      </c>
      <c r="O138" s="116">
        <f t="shared" si="956"/>
        <v>0.96867007672634253</v>
      </c>
      <c r="P138" s="116">
        <f t="shared" si="956"/>
        <v>1.2108375959079283</v>
      </c>
      <c r="Q138" s="116">
        <f t="shared" si="956"/>
        <v>1.4530051150895138</v>
      </c>
      <c r="R138" s="116">
        <f t="shared" si="956"/>
        <v>1.6951726342710995</v>
      </c>
      <c r="S138" s="116">
        <f t="shared" ref="S138:BJ138" si="957">S123/$B$138</f>
        <v>1.9373401534526851</v>
      </c>
      <c r="T138" s="116">
        <f t="shared" si="957"/>
        <v>2.1795076726342706</v>
      </c>
      <c r="U138" s="116">
        <f t="shared" si="957"/>
        <v>2.4216751918158566</v>
      </c>
      <c r="V138" s="116">
        <f t="shared" si="957"/>
        <v>2.6638427109974421</v>
      </c>
      <c r="W138" s="116">
        <f t="shared" si="957"/>
        <v>2.9060102301790276</v>
      </c>
      <c r="X138" s="116">
        <f t="shared" si="957"/>
        <v>3.1481777493606131</v>
      </c>
      <c r="Y138" s="116">
        <f t="shared" si="957"/>
        <v>3.3903452685421991</v>
      </c>
      <c r="Z138" s="116">
        <f t="shared" si="957"/>
        <v>3.6325127877237846</v>
      </c>
      <c r="AA138" s="116">
        <f t="shared" si="957"/>
        <v>3.8746803069053701</v>
      </c>
      <c r="AB138" s="116">
        <f t="shared" si="957"/>
        <v>4.1168478260869561</v>
      </c>
      <c r="AC138" s="116">
        <f t="shared" si="957"/>
        <v>4.3590153452685412</v>
      </c>
      <c r="AD138" s="116">
        <f t="shared" si="957"/>
        <v>4.6011828644501271</v>
      </c>
      <c r="AE138" s="116">
        <f t="shared" si="957"/>
        <v>4.8433503836317131</v>
      </c>
      <c r="AF138" s="116">
        <f t="shared" si="957"/>
        <v>5.0855179028132991</v>
      </c>
      <c r="AG138" s="116">
        <f t="shared" si="957"/>
        <v>5.3276854219948842</v>
      </c>
      <c r="AH138" s="116">
        <f t="shared" si="957"/>
        <v>5.5698529411764692</v>
      </c>
      <c r="AI138" s="116">
        <f t="shared" si="957"/>
        <v>5.8120204603580552</v>
      </c>
      <c r="AJ138" s="116">
        <f t="shared" si="957"/>
        <v>6.0541879795396412</v>
      </c>
      <c r="AK138" s="116">
        <f t="shared" si="957"/>
        <v>6.2963554987212262</v>
      </c>
      <c r="AL138" s="116">
        <f t="shared" si="957"/>
        <v>6.5385230179028122</v>
      </c>
      <c r="AM138" s="116">
        <f t="shared" si="957"/>
        <v>6.7806905370843982</v>
      </c>
      <c r="AN138" s="116">
        <f t="shared" si="957"/>
        <v>7.0228580562659833</v>
      </c>
      <c r="AO138" s="116">
        <f t="shared" si="957"/>
        <v>7.2650255754475692</v>
      </c>
      <c r="AP138" s="116">
        <f t="shared" si="957"/>
        <v>7.5071930946291552</v>
      </c>
      <c r="AQ138" s="116">
        <f t="shared" si="957"/>
        <v>7.7493606138107403</v>
      </c>
      <c r="AR138" s="116">
        <f t="shared" si="957"/>
        <v>7.9915281329923262</v>
      </c>
      <c r="AS138" s="116">
        <f t="shared" si="957"/>
        <v>8.2336956521739122</v>
      </c>
      <c r="AT138" s="116">
        <f t="shared" si="957"/>
        <v>8.4758631713554973</v>
      </c>
      <c r="AU138" s="116">
        <f t="shared" si="957"/>
        <v>8.7180306905370824</v>
      </c>
      <c r="AV138" s="116">
        <f t="shared" si="957"/>
        <v>8.9601982097186692</v>
      </c>
      <c r="AW138" s="116">
        <f t="shared" si="957"/>
        <v>9.2023657289002543</v>
      </c>
      <c r="AX138" s="116">
        <f t="shared" si="957"/>
        <v>9.4445332480818411</v>
      </c>
      <c r="AY138" s="116">
        <f t="shared" si="957"/>
        <v>9.6867007672634262</v>
      </c>
      <c r="AZ138" s="116">
        <f t="shared" si="957"/>
        <v>9.9288682864450113</v>
      </c>
      <c r="BA138" s="116">
        <f t="shared" si="957"/>
        <v>10.171035805626598</v>
      </c>
      <c r="BB138" s="116">
        <f t="shared" si="957"/>
        <v>10.413203324808183</v>
      </c>
      <c r="BC138" s="116">
        <f t="shared" si="957"/>
        <v>10.655370843989768</v>
      </c>
      <c r="BD138" s="116">
        <f t="shared" si="957"/>
        <v>10.897538363171353</v>
      </c>
      <c r="BE138" s="116">
        <f t="shared" si="957"/>
        <v>11.139705882352938</v>
      </c>
      <c r="BF138" s="116">
        <f t="shared" si="957"/>
        <v>11.381873401534525</v>
      </c>
      <c r="BG138" s="116">
        <f t="shared" si="957"/>
        <v>11.62404092071611</v>
      </c>
      <c r="BH138" s="116">
        <f t="shared" si="957"/>
        <v>11.866208439897695</v>
      </c>
      <c r="BI138" s="116">
        <f t="shared" si="957"/>
        <v>12.108375959079282</v>
      </c>
      <c r="BJ138" s="116">
        <f t="shared" si="957"/>
        <v>12.350543478260867</v>
      </c>
    </row>
    <row r="139" spans="1:62" outlineLevel="1" x14ac:dyDescent="0.25">
      <c r="A139" s="18" t="s">
        <v>231</v>
      </c>
      <c r="B139" s="124">
        <f t="shared" si="941"/>
        <v>3128</v>
      </c>
      <c r="C139" s="116">
        <f t="shared" ref="C139:R139" si="958">C124/$B$139</f>
        <v>0</v>
      </c>
      <c r="D139" s="116">
        <f t="shared" si="958"/>
        <v>0</v>
      </c>
      <c r="E139" s="116">
        <f t="shared" si="958"/>
        <v>0</v>
      </c>
      <c r="F139" s="116">
        <f t="shared" si="958"/>
        <v>0</v>
      </c>
      <c r="G139" s="116">
        <f t="shared" si="958"/>
        <v>0</v>
      </c>
      <c r="H139" s="116">
        <f t="shared" si="958"/>
        <v>0</v>
      </c>
      <c r="I139" s="116">
        <f t="shared" si="958"/>
        <v>0</v>
      </c>
      <c r="J139" s="116">
        <f t="shared" si="958"/>
        <v>0</v>
      </c>
      <c r="K139" s="116">
        <f t="shared" si="958"/>
        <v>0</v>
      </c>
      <c r="L139" s="116">
        <f t="shared" si="958"/>
        <v>0</v>
      </c>
      <c r="M139" s="116">
        <f t="shared" si="958"/>
        <v>0.24216751918158563</v>
      </c>
      <c r="N139" s="116">
        <f t="shared" si="958"/>
        <v>0.48433503836317127</v>
      </c>
      <c r="O139" s="116">
        <f t="shared" si="958"/>
        <v>0.7265025575447569</v>
      </c>
      <c r="P139" s="116">
        <f t="shared" si="958"/>
        <v>0.96867007672634253</v>
      </c>
      <c r="Q139" s="116">
        <f t="shared" si="958"/>
        <v>1.2108375959079283</v>
      </c>
      <c r="R139" s="116">
        <f t="shared" si="958"/>
        <v>1.4530051150895138</v>
      </c>
      <c r="S139" s="116">
        <f t="shared" ref="S139:BJ139" si="959">S124/$B$139</f>
        <v>1.6951726342710995</v>
      </c>
      <c r="T139" s="116">
        <f t="shared" si="959"/>
        <v>1.9373401534526851</v>
      </c>
      <c r="U139" s="116">
        <f t="shared" si="959"/>
        <v>2.1795076726342706</v>
      </c>
      <c r="V139" s="116">
        <f t="shared" si="959"/>
        <v>2.4216751918158566</v>
      </c>
      <c r="W139" s="116">
        <f t="shared" si="959"/>
        <v>2.6638427109974421</v>
      </c>
      <c r="X139" s="116">
        <f t="shared" si="959"/>
        <v>2.9060102301790276</v>
      </c>
      <c r="Y139" s="116">
        <f t="shared" si="959"/>
        <v>3.1481777493606131</v>
      </c>
      <c r="Z139" s="116">
        <f t="shared" si="959"/>
        <v>3.3903452685421991</v>
      </c>
      <c r="AA139" s="116">
        <f t="shared" si="959"/>
        <v>3.6325127877237846</v>
      </c>
      <c r="AB139" s="116">
        <f t="shared" si="959"/>
        <v>3.8746803069053701</v>
      </c>
      <c r="AC139" s="116">
        <f t="shared" si="959"/>
        <v>4.1168478260869561</v>
      </c>
      <c r="AD139" s="116">
        <f t="shared" si="959"/>
        <v>4.3590153452685412</v>
      </c>
      <c r="AE139" s="116">
        <f t="shared" si="959"/>
        <v>4.6011828644501271</v>
      </c>
      <c r="AF139" s="116">
        <f t="shared" si="959"/>
        <v>4.8433503836317131</v>
      </c>
      <c r="AG139" s="116">
        <f t="shared" si="959"/>
        <v>5.0855179028132991</v>
      </c>
      <c r="AH139" s="116">
        <f t="shared" si="959"/>
        <v>5.3276854219948842</v>
      </c>
      <c r="AI139" s="116">
        <f t="shared" si="959"/>
        <v>5.5698529411764692</v>
      </c>
      <c r="AJ139" s="116">
        <f t="shared" si="959"/>
        <v>5.8120204603580552</v>
      </c>
      <c r="AK139" s="116">
        <f t="shared" si="959"/>
        <v>6.0541879795396412</v>
      </c>
      <c r="AL139" s="116">
        <f t="shared" si="959"/>
        <v>6.2963554987212262</v>
      </c>
      <c r="AM139" s="116">
        <f t="shared" si="959"/>
        <v>6.5385230179028122</v>
      </c>
      <c r="AN139" s="116">
        <f t="shared" si="959"/>
        <v>6.7806905370843982</v>
      </c>
      <c r="AO139" s="116">
        <f t="shared" si="959"/>
        <v>7.0228580562659833</v>
      </c>
      <c r="AP139" s="116">
        <f t="shared" si="959"/>
        <v>7.2650255754475692</v>
      </c>
      <c r="AQ139" s="116">
        <f t="shared" si="959"/>
        <v>7.5071930946291552</v>
      </c>
      <c r="AR139" s="116">
        <f t="shared" si="959"/>
        <v>7.7493606138107403</v>
      </c>
      <c r="AS139" s="116">
        <f t="shared" si="959"/>
        <v>7.9915281329923262</v>
      </c>
      <c r="AT139" s="116">
        <f t="shared" si="959"/>
        <v>8.2336956521739122</v>
      </c>
      <c r="AU139" s="116">
        <f t="shared" si="959"/>
        <v>8.4758631713554973</v>
      </c>
      <c r="AV139" s="116">
        <f t="shared" si="959"/>
        <v>8.7180306905370824</v>
      </c>
      <c r="AW139" s="116">
        <f t="shared" si="959"/>
        <v>8.9601982097186692</v>
      </c>
      <c r="AX139" s="116">
        <f t="shared" si="959"/>
        <v>9.2023657289002543</v>
      </c>
      <c r="AY139" s="116">
        <f t="shared" si="959"/>
        <v>9.4445332480818411</v>
      </c>
      <c r="AZ139" s="116">
        <f t="shared" si="959"/>
        <v>9.6867007672634262</v>
      </c>
      <c r="BA139" s="116">
        <f t="shared" si="959"/>
        <v>9.9288682864450113</v>
      </c>
      <c r="BB139" s="116">
        <f t="shared" si="959"/>
        <v>10.171035805626598</v>
      </c>
      <c r="BC139" s="116">
        <f t="shared" si="959"/>
        <v>10.413203324808183</v>
      </c>
      <c r="BD139" s="116">
        <f t="shared" si="959"/>
        <v>10.655370843989768</v>
      </c>
      <c r="BE139" s="116">
        <f t="shared" si="959"/>
        <v>10.897538363171353</v>
      </c>
      <c r="BF139" s="116">
        <f t="shared" si="959"/>
        <v>11.139705882352938</v>
      </c>
      <c r="BG139" s="116">
        <f t="shared" si="959"/>
        <v>11.381873401534525</v>
      </c>
      <c r="BH139" s="116">
        <f t="shared" si="959"/>
        <v>11.62404092071611</v>
      </c>
      <c r="BI139" s="116">
        <f t="shared" si="959"/>
        <v>11.866208439897695</v>
      </c>
      <c r="BJ139" s="116">
        <f t="shared" si="959"/>
        <v>12.108375959079282</v>
      </c>
    </row>
    <row r="140" spans="1:62" outlineLevel="1" x14ac:dyDescent="0.25">
      <c r="A140" s="18" t="s">
        <v>231</v>
      </c>
      <c r="B140" s="124">
        <f t="shared" si="941"/>
        <v>3128</v>
      </c>
      <c r="C140" s="116">
        <f t="shared" ref="C140:R140" si="960">C125/$B$140</f>
        <v>0</v>
      </c>
      <c r="D140" s="116">
        <f t="shared" si="960"/>
        <v>0</v>
      </c>
      <c r="E140" s="116">
        <f t="shared" si="960"/>
        <v>0</v>
      </c>
      <c r="F140" s="116">
        <f t="shared" si="960"/>
        <v>0</v>
      </c>
      <c r="G140" s="116">
        <f t="shared" si="960"/>
        <v>0</v>
      </c>
      <c r="H140" s="116">
        <f t="shared" si="960"/>
        <v>0</v>
      </c>
      <c r="I140" s="116">
        <f t="shared" si="960"/>
        <v>0</v>
      </c>
      <c r="J140" s="116">
        <f t="shared" si="960"/>
        <v>0</v>
      </c>
      <c r="K140" s="116">
        <f t="shared" si="960"/>
        <v>0</v>
      </c>
      <c r="L140" s="116">
        <f t="shared" si="960"/>
        <v>0</v>
      </c>
      <c r="M140" s="116">
        <f t="shared" si="960"/>
        <v>0</v>
      </c>
      <c r="N140" s="116">
        <f t="shared" si="960"/>
        <v>0.24216751918158563</v>
      </c>
      <c r="O140" s="116">
        <f t="shared" si="960"/>
        <v>0.48433503836317127</v>
      </c>
      <c r="P140" s="116">
        <f t="shared" si="960"/>
        <v>0.7265025575447569</v>
      </c>
      <c r="Q140" s="116">
        <f t="shared" si="960"/>
        <v>0.96867007672634253</v>
      </c>
      <c r="R140" s="116">
        <f t="shared" si="960"/>
        <v>1.2108375959079283</v>
      </c>
      <c r="S140" s="116">
        <f t="shared" ref="S140:BJ140" si="961">S125/$B$140</f>
        <v>1.4530051150895138</v>
      </c>
      <c r="T140" s="116">
        <f t="shared" si="961"/>
        <v>1.6951726342710995</v>
      </c>
      <c r="U140" s="116">
        <f t="shared" si="961"/>
        <v>1.9373401534526851</v>
      </c>
      <c r="V140" s="116">
        <f t="shared" si="961"/>
        <v>2.1795076726342706</v>
      </c>
      <c r="W140" s="116">
        <f t="shared" si="961"/>
        <v>2.4216751918158566</v>
      </c>
      <c r="X140" s="116">
        <f t="shared" si="961"/>
        <v>2.6638427109974421</v>
      </c>
      <c r="Y140" s="116">
        <f t="shared" si="961"/>
        <v>2.9060102301790276</v>
      </c>
      <c r="Z140" s="116">
        <f t="shared" si="961"/>
        <v>3.1481777493606131</v>
      </c>
      <c r="AA140" s="116">
        <f t="shared" si="961"/>
        <v>3.3903452685421991</v>
      </c>
      <c r="AB140" s="116">
        <f t="shared" si="961"/>
        <v>3.6325127877237846</v>
      </c>
      <c r="AC140" s="116">
        <f t="shared" si="961"/>
        <v>3.8746803069053701</v>
      </c>
      <c r="AD140" s="116">
        <f t="shared" si="961"/>
        <v>4.1168478260869561</v>
      </c>
      <c r="AE140" s="116">
        <f t="shared" si="961"/>
        <v>4.3590153452685412</v>
      </c>
      <c r="AF140" s="116">
        <f t="shared" si="961"/>
        <v>4.6011828644501271</v>
      </c>
      <c r="AG140" s="116">
        <f t="shared" si="961"/>
        <v>4.8433503836317131</v>
      </c>
      <c r="AH140" s="116">
        <f t="shared" si="961"/>
        <v>5.0855179028132991</v>
      </c>
      <c r="AI140" s="116">
        <f t="shared" si="961"/>
        <v>5.3276854219948842</v>
      </c>
      <c r="AJ140" s="116">
        <f t="shared" si="961"/>
        <v>5.5698529411764692</v>
      </c>
      <c r="AK140" s="116">
        <f t="shared" si="961"/>
        <v>5.8120204603580552</v>
      </c>
      <c r="AL140" s="116">
        <f t="shared" si="961"/>
        <v>6.0541879795396412</v>
      </c>
      <c r="AM140" s="116">
        <f t="shared" si="961"/>
        <v>6.2963554987212262</v>
      </c>
      <c r="AN140" s="116">
        <f t="shared" si="961"/>
        <v>6.5385230179028122</v>
      </c>
      <c r="AO140" s="116">
        <f t="shared" si="961"/>
        <v>6.7806905370843982</v>
      </c>
      <c r="AP140" s="116">
        <f t="shared" si="961"/>
        <v>7.0228580562659833</v>
      </c>
      <c r="AQ140" s="116">
        <f t="shared" si="961"/>
        <v>7.2650255754475692</v>
      </c>
      <c r="AR140" s="116">
        <f t="shared" si="961"/>
        <v>7.5071930946291552</v>
      </c>
      <c r="AS140" s="116">
        <f t="shared" si="961"/>
        <v>7.7493606138107403</v>
      </c>
      <c r="AT140" s="116">
        <f t="shared" si="961"/>
        <v>7.9915281329923262</v>
      </c>
      <c r="AU140" s="116">
        <f t="shared" si="961"/>
        <v>8.2336956521739122</v>
      </c>
      <c r="AV140" s="116">
        <f t="shared" si="961"/>
        <v>8.4758631713554973</v>
      </c>
      <c r="AW140" s="116">
        <f t="shared" si="961"/>
        <v>8.7180306905370824</v>
      </c>
      <c r="AX140" s="116">
        <f t="shared" si="961"/>
        <v>8.9601982097186692</v>
      </c>
      <c r="AY140" s="116">
        <f t="shared" si="961"/>
        <v>9.2023657289002543</v>
      </c>
      <c r="AZ140" s="116">
        <f t="shared" si="961"/>
        <v>9.4445332480818411</v>
      </c>
      <c r="BA140" s="116">
        <f t="shared" si="961"/>
        <v>9.6867007672634262</v>
      </c>
      <c r="BB140" s="116">
        <f t="shared" si="961"/>
        <v>9.9288682864450113</v>
      </c>
      <c r="BC140" s="116">
        <f t="shared" si="961"/>
        <v>10.171035805626598</v>
      </c>
      <c r="BD140" s="116">
        <f t="shared" si="961"/>
        <v>10.413203324808183</v>
      </c>
      <c r="BE140" s="116">
        <f t="shared" si="961"/>
        <v>10.655370843989768</v>
      </c>
      <c r="BF140" s="116">
        <f t="shared" si="961"/>
        <v>10.897538363171353</v>
      </c>
      <c r="BG140" s="116">
        <f t="shared" si="961"/>
        <v>11.139705882352938</v>
      </c>
      <c r="BH140" s="116">
        <f t="shared" si="961"/>
        <v>11.381873401534525</v>
      </c>
      <c r="BI140" s="116">
        <f t="shared" si="961"/>
        <v>11.62404092071611</v>
      </c>
      <c r="BJ140" s="116">
        <f t="shared" si="961"/>
        <v>11.866208439897695</v>
      </c>
    </row>
    <row r="141" spans="1:62" ht="17" outlineLevel="1" thickBot="1" x14ac:dyDescent="0.3">
      <c r="A141" s="18" t="s">
        <v>231</v>
      </c>
      <c r="B141" s="124">
        <f t="shared" si="941"/>
        <v>3128</v>
      </c>
      <c r="C141" s="116">
        <f t="shared" ref="C141:R141" si="962">C126/$B$141</f>
        <v>0</v>
      </c>
      <c r="D141" s="116">
        <f t="shared" si="962"/>
        <v>0</v>
      </c>
      <c r="E141" s="116">
        <f t="shared" si="962"/>
        <v>0</v>
      </c>
      <c r="F141" s="116">
        <f t="shared" si="962"/>
        <v>0</v>
      </c>
      <c r="G141" s="116">
        <f t="shared" si="962"/>
        <v>0</v>
      </c>
      <c r="H141" s="116">
        <f t="shared" si="962"/>
        <v>0</v>
      </c>
      <c r="I141" s="116">
        <f t="shared" si="962"/>
        <v>0</v>
      </c>
      <c r="J141" s="116">
        <f t="shared" si="962"/>
        <v>0</v>
      </c>
      <c r="K141" s="116">
        <f t="shared" si="962"/>
        <v>0</v>
      </c>
      <c r="L141" s="116">
        <f t="shared" si="962"/>
        <v>0</v>
      </c>
      <c r="M141" s="116">
        <f t="shared" si="962"/>
        <v>0</v>
      </c>
      <c r="N141" s="116">
        <f t="shared" si="962"/>
        <v>0.24216751918158563</v>
      </c>
      <c r="O141" s="116">
        <f t="shared" si="962"/>
        <v>0.48433503836317127</v>
      </c>
      <c r="P141" s="116">
        <f t="shared" si="962"/>
        <v>0.7265025575447569</v>
      </c>
      <c r="Q141" s="116">
        <f t="shared" si="962"/>
        <v>0.96867007672634253</v>
      </c>
      <c r="R141" s="116">
        <f t="shared" si="962"/>
        <v>1.2108375959079283</v>
      </c>
      <c r="S141" s="116">
        <f t="shared" ref="S141:BJ141" si="963">S126/$B$141</f>
        <v>1.4530051150895138</v>
      </c>
      <c r="T141" s="116">
        <f t="shared" si="963"/>
        <v>1.6951726342710995</v>
      </c>
      <c r="U141" s="116">
        <f t="shared" si="963"/>
        <v>1.9373401534526851</v>
      </c>
      <c r="V141" s="116">
        <f t="shared" si="963"/>
        <v>2.1795076726342706</v>
      </c>
      <c r="W141" s="116">
        <f t="shared" si="963"/>
        <v>2.4216751918158566</v>
      </c>
      <c r="X141" s="116">
        <f t="shared" si="963"/>
        <v>2.6638427109974421</v>
      </c>
      <c r="Y141" s="116">
        <f t="shared" si="963"/>
        <v>2.9060102301790276</v>
      </c>
      <c r="Z141" s="116">
        <f t="shared" si="963"/>
        <v>3.1481777493606131</v>
      </c>
      <c r="AA141" s="116">
        <f t="shared" si="963"/>
        <v>3.3903452685421991</v>
      </c>
      <c r="AB141" s="116">
        <f t="shared" si="963"/>
        <v>3.6325127877237846</v>
      </c>
      <c r="AC141" s="116">
        <f t="shared" si="963"/>
        <v>3.8746803069053701</v>
      </c>
      <c r="AD141" s="116">
        <f t="shared" si="963"/>
        <v>4.1168478260869561</v>
      </c>
      <c r="AE141" s="116">
        <f t="shared" si="963"/>
        <v>4.3590153452685412</v>
      </c>
      <c r="AF141" s="116">
        <f t="shared" si="963"/>
        <v>4.6011828644501271</v>
      </c>
      <c r="AG141" s="116">
        <f t="shared" si="963"/>
        <v>4.8433503836317131</v>
      </c>
      <c r="AH141" s="116">
        <f t="shared" si="963"/>
        <v>5.0855179028132991</v>
      </c>
      <c r="AI141" s="116">
        <f t="shared" si="963"/>
        <v>5.3276854219948842</v>
      </c>
      <c r="AJ141" s="116">
        <f t="shared" si="963"/>
        <v>5.5698529411764692</v>
      </c>
      <c r="AK141" s="116">
        <f t="shared" si="963"/>
        <v>5.8120204603580552</v>
      </c>
      <c r="AL141" s="116">
        <f t="shared" si="963"/>
        <v>6.0541879795396412</v>
      </c>
      <c r="AM141" s="116">
        <f t="shared" si="963"/>
        <v>6.2963554987212262</v>
      </c>
      <c r="AN141" s="116">
        <f t="shared" si="963"/>
        <v>6.5385230179028122</v>
      </c>
      <c r="AO141" s="116">
        <f t="shared" si="963"/>
        <v>6.7806905370843982</v>
      </c>
      <c r="AP141" s="116">
        <f t="shared" si="963"/>
        <v>7.0228580562659833</v>
      </c>
      <c r="AQ141" s="116">
        <f t="shared" si="963"/>
        <v>7.2650255754475692</v>
      </c>
      <c r="AR141" s="116">
        <f t="shared" si="963"/>
        <v>7.5071930946291552</v>
      </c>
      <c r="AS141" s="116">
        <f t="shared" si="963"/>
        <v>7.7493606138107403</v>
      </c>
      <c r="AT141" s="116">
        <f t="shared" si="963"/>
        <v>7.9915281329923262</v>
      </c>
      <c r="AU141" s="116">
        <f t="shared" si="963"/>
        <v>8.2336956521739122</v>
      </c>
      <c r="AV141" s="116">
        <f t="shared" si="963"/>
        <v>8.4758631713554973</v>
      </c>
      <c r="AW141" s="116">
        <f t="shared" si="963"/>
        <v>8.7180306905370824</v>
      </c>
      <c r="AX141" s="116">
        <f t="shared" si="963"/>
        <v>8.9601982097186692</v>
      </c>
      <c r="AY141" s="116">
        <f t="shared" si="963"/>
        <v>9.2023657289002543</v>
      </c>
      <c r="AZ141" s="116">
        <f t="shared" si="963"/>
        <v>9.4445332480818411</v>
      </c>
      <c r="BA141" s="116">
        <f t="shared" si="963"/>
        <v>9.6867007672634262</v>
      </c>
      <c r="BB141" s="116">
        <f t="shared" si="963"/>
        <v>9.9288682864450113</v>
      </c>
      <c r="BC141" s="116">
        <f t="shared" si="963"/>
        <v>10.171035805626598</v>
      </c>
      <c r="BD141" s="116">
        <f t="shared" si="963"/>
        <v>10.413203324808183</v>
      </c>
      <c r="BE141" s="116">
        <f t="shared" si="963"/>
        <v>10.655370843989768</v>
      </c>
      <c r="BF141" s="116">
        <f t="shared" si="963"/>
        <v>10.897538363171353</v>
      </c>
      <c r="BG141" s="116">
        <f t="shared" si="963"/>
        <v>11.139705882352938</v>
      </c>
      <c r="BH141" s="116">
        <f t="shared" si="963"/>
        <v>11.381873401534525</v>
      </c>
      <c r="BI141" s="116">
        <f t="shared" si="963"/>
        <v>11.62404092071611</v>
      </c>
      <c r="BJ141" s="116">
        <f t="shared" si="963"/>
        <v>11.866208439897695</v>
      </c>
    </row>
    <row r="142" spans="1:62" x14ac:dyDescent="0.25">
      <c r="A142" s="113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</row>
    <row r="143" spans="1:62" x14ac:dyDescent="0.25">
      <c r="A143" s="23" t="s">
        <v>55</v>
      </c>
      <c r="B143" s="24"/>
      <c r="C143" s="24">
        <v>43831</v>
      </c>
      <c r="D143" s="24">
        <v>43862</v>
      </c>
      <c r="E143" s="24">
        <v>43891</v>
      </c>
      <c r="F143" s="24">
        <v>43922</v>
      </c>
      <c r="G143" s="24">
        <v>43952</v>
      </c>
      <c r="H143" s="24">
        <v>43983</v>
      </c>
      <c r="I143" s="24">
        <v>44013</v>
      </c>
      <c r="J143" s="24">
        <v>44044</v>
      </c>
      <c r="K143" s="24">
        <v>44075</v>
      </c>
      <c r="L143" s="24">
        <v>44105</v>
      </c>
      <c r="M143" s="24">
        <v>44136</v>
      </c>
      <c r="N143" s="24">
        <v>44166</v>
      </c>
      <c r="O143" s="24">
        <v>44197</v>
      </c>
      <c r="P143" s="24">
        <v>44228</v>
      </c>
      <c r="Q143" s="24">
        <v>44256</v>
      </c>
      <c r="R143" s="24">
        <v>44287</v>
      </c>
      <c r="S143" s="24">
        <v>44317</v>
      </c>
      <c r="T143" s="24">
        <v>44348</v>
      </c>
      <c r="U143" s="24">
        <v>44378</v>
      </c>
      <c r="V143" s="24">
        <v>44409</v>
      </c>
      <c r="W143" s="24">
        <v>44440</v>
      </c>
      <c r="X143" s="24">
        <v>44470</v>
      </c>
      <c r="Y143" s="24">
        <v>44501</v>
      </c>
      <c r="Z143" s="24">
        <v>44531</v>
      </c>
      <c r="AA143" s="24">
        <v>44562</v>
      </c>
      <c r="AB143" s="24">
        <v>44593</v>
      </c>
      <c r="AC143" s="24">
        <v>44621</v>
      </c>
      <c r="AD143" s="24">
        <v>44652</v>
      </c>
      <c r="AE143" s="24">
        <v>44682</v>
      </c>
      <c r="AF143" s="24">
        <v>44713</v>
      </c>
      <c r="AG143" s="24">
        <v>44743</v>
      </c>
      <c r="AH143" s="24">
        <v>44774</v>
      </c>
      <c r="AI143" s="24">
        <v>44805</v>
      </c>
      <c r="AJ143" s="24">
        <v>44835</v>
      </c>
      <c r="AK143" s="24">
        <v>44866</v>
      </c>
      <c r="AL143" s="24">
        <v>44896</v>
      </c>
      <c r="AM143" s="24">
        <v>44927</v>
      </c>
      <c r="AN143" s="24">
        <v>44958</v>
      </c>
      <c r="AO143" s="24">
        <v>44986</v>
      </c>
      <c r="AP143" s="24">
        <v>45017</v>
      </c>
      <c r="AQ143" s="24">
        <v>45047</v>
      </c>
      <c r="AR143" s="24">
        <v>45078</v>
      </c>
      <c r="AS143" s="24">
        <v>45108</v>
      </c>
      <c r="AT143" s="24">
        <v>45139</v>
      </c>
      <c r="AU143" s="24">
        <v>45170</v>
      </c>
      <c r="AV143" s="24">
        <v>45200</v>
      </c>
      <c r="AW143" s="24">
        <v>45231</v>
      </c>
      <c r="AX143" s="24">
        <v>45261</v>
      </c>
      <c r="AY143" s="24">
        <v>45292</v>
      </c>
      <c r="AZ143" s="24">
        <v>45323</v>
      </c>
      <c r="BA143" s="24">
        <v>45352</v>
      </c>
      <c r="BB143" s="24">
        <v>45383</v>
      </c>
      <c r="BC143" s="24">
        <v>45413</v>
      </c>
      <c r="BD143" s="24">
        <v>45444</v>
      </c>
      <c r="BE143" s="24">
        <v>45474</v>
      </c>
      <c r="BF143" s="24">
        <v>45505</v>
      </c>
      <c r="BG143" s="24">
        <v>45536</v>
      </c>
      <c r="BH143" s="24">
        <v>45566</v>
      </c>
      <c r="BI143" s="24">
        <v>45597</v>
      </c>
      <c r="BJ143" s="24">
        <v>45627</v>
      </c>
    </row>
    <row r="144" spans="1:62" outlineLevel="1" x14ac:dyDescent="0.25">
      <c r="A144" s="18" t="s">
        <v>476</v>
      </c>
      <c r="B144" s="124"/>
      <c r="C144" s="114">
        <f t="shared" ref="C144:N144" si="964">(C27*$B$27)+(C28*$B$28)+(C29*$B$29)+(C30*$B$30)+(C31*$B$31)+(C32*$B$32)+(C33*$B$33)+(C34*$B$34)+(C35*$B$35)+(C36*$B$36)+(C37*$B$37)+(C38*$B$38)</f>
        <v>4416</v>
      </c>
      <c r="D144" s="114">
        <f t="shared" si="964"/>
        <v>4416</v>
      </c>
      <c r="E144" s="114">
        <f t="shared" si="964"/>
        <v>4416</v>
      </c>
      <c r="F144" s="114">
        <f t="shared" si="964"/>
        <v>8556</v>
      </c>
      <c r="G144" s="114">
        <f t="shared" si="964"/>
        <v>8556</v>
      </c>
      <c r="H144" s="114">
        <f t="shared" si="964"/>
        <v>8556</v>
      </c>
      <c r="I144" s="114">
        <f t="shared" si="964"/>
        <v>8556</v>
      </c>
      <c r="J144" s="114">
        <f t="shared" si="964"/>
        <v>14076</v>
      </c>
      <c r="K144" s="114">
        <f t="shared" si="964"/>
        <v>17204</v>
      </c>
      <c r="L144" s="114">
        <f t="shared" si="964"/>
        <v>27692</v>
      </c>
      <c r="M144" s="114">
        <f t="shared" si="964"/>
        <v>39284</v>
      </c>
      <c r="N144" s="114">
        <f t="shared" si="964"/>
        <v>45540</v>
      </c>
      <c r="O144" s="114">
        <f t="shared" ref="O144:BJ144" si="965">(O27*$B$27)+(O28*$B$28)+(O29*$B$29)+(O30*$B$30)+(O31*$B$31)+(O32*$B$32)+(O33*$B$33)+(O34*$B$34)+(O35*$B$35)+(O36*$B$36)+(O37*$B$37)+(O38*$B$38)</f>
        <v>45540</v>
      </c>
      <c r="P144" s="114">
        <f t="shared" si="965"/>
        <v>45540</v>
      </c>
      <c r="Q144" s="114">
        <f t="shared" si="965"/>
        <v>45540</v>
      </c>
      <c r="R144" s="114">
        <f t="shared" si="965"/>
        <v>45540</v>
      </c>
      <c r="S144" s="114">
        <f t="shared" si="965"/>
        <v>45540</v>
      </c>
      <c r="T144" s="114">
        <f t="shared" si="965"/>
        <v>45540</v>
      </c>
      <c r="U144" s="114">
        <f t="shared" si="965"/>
        <v>45540</v>
      </c>
      <c r="V144" s="114">
        <f t="shared" si="965"/>
        <v>45540</v>
      </c>
      <c r="W144" s="114">
        <f t="shared" si="965"/>
        <v>45540</v>
      </c>
      <c r="X144" s="114">
        <f t="shared" si="965"/>
        <v>45540</v>
      </c>
      <c r="Y144" s="114">
        <f t="shared" si="965"/>
        <v>45540</v>
      </c>
      <c r="Z144" s="114">
        <f t="shared" si="965"/>
        <v>45540</v>
      </c>
      <c r="AA144" s="114">
        <f t="shared" si="965"/>
        <v>45540</v>
      </c>
      <c r="AB144" s="114">
        <f t="shared" si="965"/>
        <v>45540</v>
      </c>
      <c r="AC144" s="114">
        <f t="shared" si="965"/>
        <v>45540</v>
      </c>
      <c r="AD144" s="114">
        <f t="shared" si="965"/>
        <v>45540</v>
      </c>
      <c r="AE144" s="114">
        <f t="shared" si="965"/>
        <v>45540</v>
      </c>
      <c r="AF144" s="114">
        <f t="shared" si="965"/>
        <v>45540</v>
      </c>
      <c r="AG144" s="114">
        <f t="shared" si="965"/>
        <v>45540</v>
      </c>
      <c r="AH144" s="114">
        <f t="shared" si="965"/>
        <v>45540</v>
      </c>
      <c r="AI144" s="114">
        <f t="shared" si="965"/>
        <v>45540</v>
      </c>
      <c r="AJ144" s="114">
        <f t="shared" si="965"/>
        <v>45540</v>
      </c>
      <c r="AK144" s="114">
        <f t="shared" si="965"/>
        <v>45540</v>
      </c>
      <c r="AL144" s="114">
        <f t="shared" si="965"/>
        <v>45540</v>
      </c>
      <c r="AM144" s="114">
        <f t="shared" si="965"/>
        <v>45540</v>
      </c>
      <c r="AN144" s="114">
        <f t="shared" si="965"/>
        <v>45540</v>
      </c>
      <c r="AO144" s="114">
        <f t="shared" si="965"/>
        <v>45540</v>
      </c>
      <c r="AP144" s="114">
        <f t="shared" si="965"/>
        <v>45540</v>
      </c>
      <c r="AQ144" s="114">
        <f t="shared" si="965"/>
        <v>45540</v>
      </c>
      <c r="AR144" s="114">
        <f t="shared" si="965"/>
        <v>45540</v>
      </c>
      <c r="AS144" s="114">
        <f t="shared" si="965"/>
        <v>45540</v>
      </c>
      <c r="AT144" s="114">
        <f t="shared" si="965"/>
        <v>45540</v>
      </c>
      <c r="AU144" s="114">
        <f t="shared" si="965"/>
        <v>45540</v>
      </c>
      <c r="AV144" s="114">
        <f t="shared" si="965"/>
        <v>45540</v>
      </c>
      <c r="AW144" s="114">
        <f t="shared" si="965"/>
        <v>45540</v>
      </c>
      <c r="AX144" s="114">
        <f t="shared" si="965"/>
        <v>45540</v>
      </c>
      <c r="AY144" s="114">
        <f t="shared" si="965"/>
        <v>45540</v>
      </c>
      <c r="AZ144" s="114">
        <f t="shared" si="965"/>
        <v>45540</v>
      </c>
      <c r="BA144" s="114">
        <f t="shared" si="965"/>
        <v>45540</v>
      </c>
      <c r="BB144" s="114">
        <f t="shared" si="965"/>
        <v>45540</v>
      </c>
      <c r="BC144" s="114">
        <f t="shared" si="965"/>
        <v>45540</v>
      </c>
      <c r="BD144" s="114">
        <f t="shared" si="965"/>
        <v>45540</v>
      </c>
      <c r="BE144" s="114">
        <f t="shared" si="965"/>
        <v>45540</v>
      </c>
      <c r="BF144" s="114">
        <f t="shared" si="965"/>
        <v>45540</v>
      </c>
      <c r="BG144" s="114">
        <f t="shared" si="965"/>
        <v>45540</v>
      </c>
      <c r="BH144" s="114">
        <f t="shared" si="965"/>
        <v>45540</v>
      </c>
      <c r="BI144" s="114">
        <f t="shared" si="965"/>
        <v>45540</v>
      </c>
      <c r="BJ144" s="114">
        <f t="shared" si="965"/>
        <v>45540</v>
      </c>
    </row>
    <row r="145" spans="1:62" outlineLevel="1" x14ac:dyDescent="0.25">
      <c r="A145" s="18" t="s">
        <v>340</v>
      </c>
      <c r="B145" s="124"/>
      <c r="C145" s="114"/>
      <c r="D145" s="114">
        <f>C144*$H$23</f>
        <v>220.8</v>
      </c>
      <c r="E145" s="114">
        <f t="shared" ref="E145:BJ145" si="966">D144*$H$23</f>
        <v>220.8</v>
      </c>
      <c r="F145" s="114">
        <f t="shared" si="966"/>
        <v>220.8</v>
      </c>
      <c r="G145" s="114">
        <f t="shared" si="966"/>
        <v>427.8</v>
      </c>
      <c r="H145" s="114">
        <f t="shared" si="966"/>
        <v>427.8</v>
      </c>
      <c r="I145" s="114">
        <f t="shared" si="966"/>
        <v>427.8</v>
      </c>
      <c r="J145" s="114">
        <f t="shared" si="966"/>
        <v>427.8</v>
      </c>
      <c r="K145" s="114">
        <f t="shared" si="966"/>
        <v>703.80000000000007</v>
      </c>
      <c r="L145" s="114">
        <f t="shared" si="966"/>
        <v>860.2</v>
      </c>
      <c r="M145" s="114">
        <f t="shared" si="966"/>
        <v>1384.6000000000001</v>
      </c>
      <c r="N145" s="114">
        <f t="shared" si="966"/>
        <v>1964.2</v>
      </c>
      <c r="O145" s="114">
        <f t="shared" si="966"/>
        <v>2277</v>
      </c>
      <c r="P145" s="114">
        <f t="shared" si="966"/>
        <v>2277</v>
      </c>
      <c r="Q145" s="114">
        <f t="shared" si="966"/>
        <v>2277</v>
      </c>
      <c r="R145" s="114">
        <f t="shared" si="966"/>
        <v>2277</v>
      </c>
      <c r="S145" s="114">
        <f t="shared" si="966"/>
        <v>2277</v>
      </c>
      <c r="T145" s="114">
        <f t="shared" si="966"/>
        <v>2277</v>
      </c>
      <c r="U145" s="114">
        <f t="shared" si="966"/>
        <v>2277</v>
      </c>
      <c r="V145" s="114">
        <f t="shared" si="966"/>
        <v>2277</v>
      </c>
      <c r="W145" s="114">
        <f t="shared" si="966"/>
        <v>2277</v>
      </c>
      <c r="X145" s="114">
        <f t="shared" si="966"/>
        <v>2277</v>
      </c>
      <c r="Y145" s="114">
        <f t="shared" si="966"/>
        <v>2277</v>
      </c>
      <c r="Z145" s="114">
        <f t="shared" si="966"/>
        <v>2277</v>
      </c>
      <c r="AA145" s="114">
        <f t="shared" si="966"/>
        <v>2277</v>
      </c>
      <c r="AB145" s="114">
        <f t="shared" si="966"/>
        <v>2277</v>
      </c>
      <c r="AC145" s="114">
        <f t="shared" si="966"/>
        <v>2277</v>
      </c>
      <c r="AD145" s="114">
        <f t="shared" si="966"/>
        <v>2277</v>
      </c>
      <c r="AE145" s="114">
        <f t="shared" si="966"/>
        <v>2277</v>
      </c>
      <c r="AF145" s="114">
        <f t="shared" si="966"/>
        <v>2277</v>
      </c>
      <c r="AG145" s="114">
        <f t="shared" si="966"/>
        <v>2277</v>
      </c>
      <c r="AH145" s="114">
        <f t="shared" si="966"/>
        <v>2277</v>
      </c>
      <c r="AI145" s="114">
        <f t="shared" si="966"/>
        <v>2277</v>
      </c>
      <c r="AJ145" s="114">
        <f t="shared" si="966"/>
        <v>2277</v>
      </c>
      <c r="AK145" s="114">
        <f t="shared" si="966"/>
        <v>2277</v>
      </c>
      <c r="AL145" s="114">
        <f t="shared" si="966"/>
        <v>2277</v>
      </c>
      <c r="AM145" s="114">
        <f t="shared" si="966"/>
        <v>2277</v>
      </c>
      <c r="AN145" s="114">
        <f t="shared" si="966"/>
        <v>2277</v>
      </c>
      <c r="AO145" s="114">
        <f t="shared" si="966"/>
        <v>2277</v>
      </c>
      <c r="AP145" s="114">
        <f t="shared" si="966"/>
        <v>2277</v>
      </c>
      <c r="AQ145" s="114">
        <f t="shared" si="966"/>
        <v>2277</v>
      </c>
      <c r="AR145" s="114">
        <f t="shared" si="966"/>
        <v>2277</v>
      </c>
      <c r="AS145" s="114">
        <f t="shared" si="966"/>
        <v>2277</v>
      </c>
      <c r="AT145" s="114">
        <f t="shared" si="966"/>
        <v>2277</v>
      </c>
      <c r="AU145" s="114">
        <f t="shared" si="966"/>
        <v>2277</v>
      </c>
      <c r="AV145" s="114">
        <f t="shared" si="966"/>
        <v>2277</v>
      </c>
      <c r="AW145" s="114">
        <f t="shared" si="966"/>
        <v>2277</v>
      </c>
      <c r="AX145" s="114">
        <f t="shared" si="966"/>
        <v>2277</v>
      </c>
      <c r="AY145" s="114">
        <f t="shared" si="966"/>
        <v>2277</v>
      </c>
      <c r="AZ145" s="114">
        <f t="shared" si="966"/>
        <v>2277</v>
      </c>
      <c r="BA145" s="114">
        <f t="shared" si="966"/>
        <v>2277</v>
      </c>
      <c r="BB145" s="114">
        <f t="shared" si="966"/>
        <v>2277</v>
      </c>
      <c r="BC145" s="114">
        <f t="shared" si="966"/>
        <v>2277</v>
      </c>
      <c r="BD145" s="114">
        <f t="shared" si="966"/>
        <v>2277</v>
      </c>
      <c r="BE145" s="114">
        <f t="shared" si="966"/>
        <v>2277</v>
      </c>
      <c r="BF145" s="114">
        <f t="shared" si="966"/>
        <v>2277</v>
      </c>
      <c r="BG145" s="114">
        <f t="shared" si="966"/>
        <v>2277</v>
      </c>
      <c r="BH145" s="114">
        <f t="shared" si="966"/>
        <v>2277</v>
      </c>
      <c r="BI145" s="114">
        <f t="shared" si="966"/>
        <v>2277</v>
      </c>
      <c r="BJ145" s="114">
        <f t="shared" si="966"/>
        <v>2277</v>
      </c>
    </row>
    <row r="146" spans="1:62" outlineLevel="1" x14ac:dyDescent="0.25">
      <c r="A146" s="18" t="s">
        <v>478</v>
      </c>
      <c r="B146" s="124"/>
      <c r="C146" s="114">
        <f>C69*$B$12</f>
        <v>150</v>
      </c>
      <c r="D146" s="114">
        <f t="shared" ref="D146:N146" si="967">D69*$B$12</f>
        <v>150</v>
      </c>
      <c r="E146" s="114">
        <f t="shared" si="967"/>
        <v>150</v>
      </c>
      <c r="F146" s="114">
        <f t="shared" si="967"/>
        <v>150</v>
      </c>
      <c r="G146" s="114">
        <f t="shared" si="967"/>
        <v>150</v>
      </c>
      <c r="H146" s="114">
        <f t="shared" si="967"/>
        <v>150</v>
      </c>
      <c r="I146" s="114">
        <f t="shared" si="967"/>
        <v>150</v>
      </c>
      <c r="J146" s="114">
        <f t="shared" si="967"/>
        <v>450</v>
      </c>
      <c r="K146" s="114">
        <f t="shared" si="967"/>
        <v>600</v>
      </c>
      <c r="L146" s="114">
        <f t="shared" si="967"/>
        <v>900</v>
      </c>
      <c r="M146" s="114">
        <f t="shared" si="967"/>
        <v>1200</v>
      </c>
      <c r="N146" s="114">
        <f t="shared" si="967"/>
        <v>1500</v>
      </c>
      <c r="O146" s="114">
        <f t="shared" ref="O146:BJ146" si="968">O69*$B$12</f>
        <v>1500</v>
      </c>
      <c r="P146" s="114">
        <f t="shared" si="968"/>
        <v>1500</v>
      </c>
      <c r="Q146" s="114">
        <f t="shared" si="968"/>
        <v>1500</v>
      </c>
      <c r="R146" s="114">
        <f t="shared" si="968"/>
        <v>1500</v>
      </c>
      <c r="S146" s="114">
        <f t="shared" si="968"/>
        <v>1500</v>
      </c>
      <c r="T146" s="114">
        <f t="shared" si="968"/>
        <v>1500</v>
      </c>
      <c r="U146" s="114">
        <f t="shared" si="968"/>
        <v>1500</v>
      </c>
      <c r="V146" s="114">
        <f t="shared" si="968"/>
        <v>1500</v>
      </c>
      <c r="W146" s="114">
        <f t="shared" si="968"/>
        <v>1500</v>
      </c>
      <c r="X146" s="114">
        <f t="shared" si="968"/>
        <v>1650</v>
      </c>
      <c r="Y146" s="114">
        <f t="shared" si="968"/>
        <v>1650</v>
      </c>
      <c r="Z146" s="114">
        <f t="shared" si="968"/>
        <v>1650</v>
      </c>
      <c r="AA146" s="114">
        <f t="shared" si="968"/>
        <v>1650</v>
      </c>
      <c r="AB146" s="114">
        <f t="shared" si="968"/>
        <v>1650</v>
      </c>
      <c r="AC146" s="114">
        <f t="shared" si="968"/>
        <v>1650</v>
      </c>
      <c r="AD146" s="114">
        <f t="shared" si="968"/>
        <v>1650</v>
      </c>
      <c r="AE146" s="114">
        <f t="shared" si="968"/>
        <v>1650</v>
      </c>
      <c r="AF146" s="114">
        <f t="shared" si="968"/>
        <v>1650</v>
      </c>
      <c r="AG146" s="114">
        <f t="shared" si="968"/>
        <v>1650</v>
      </c>
      <c r="AH146" s="114">
        <f t="shared" si="968"/>
        <v>1650</v>
      </c>
      <c r="AI146" s="114">
        <f t="shared" si="968"/>
        <v>1650</v>
      </c>
      <c r="AJ146" s="114">
        <f t="shared" si="968"/>
        <v>1650</v>
      </c>
      <c r="AK146" s="114">
        <f t="shared" si="968"/>
        <v>1650</v>
      </c>
      <c r="AL146" s="114">
        <f t="shared" si="968"/>
        <v>1650</v>
      </c>
      <c r="AM146" s="114">
        <f t="shared" si="968"/>
        <v>1650</v>
      </c>
      <c r="AN146" s="114">
        <f t="shared" si="968"/>
        <v>1650</v>
      </c>
      <c r="AO146" s="114">
        <f t="shared" si="968"/>
        <v>1650</v>
      </c>
      <c r="AP146" s="114">
        <f t="shared" si="968"/>
        <v>1650</v>
      </c>
      <c r="AQ146" s="114">
        <f t="shared" si="968"/>
        <v>1650</v>
      </c>
      <c r="AR146" s="114">
        <f t="shared" si="968"/>
        <v>1650</v>
      </c>
      <c r="AS146" s="114">
        <f t="shared" si="968"/>
        <v>1650</v>
      </c>
      <c r="AT146" s="114">
        <f t="shared" si="968"/>
        <v>1650</v>
      </c>
      <c r="AU146" s="114">
        <f t="shared" si="968"/>
        <v>1650</v>
      </c>
      <c r="AV146" s="114">
        <f t="shared" si="968"/>
        <v>1650</v>
      </c>
      <c r="AW146" s="114">
        <f t="shared" si="968"/>
        <v>1650</v>
      </c>
      <c r="AX146" s="114">
        <f t="shared" si="968"/>
        <v>1650</v>
      </c>
      <c r="AY146" s="114">
        <f t="shared" si="968"/>
        <v>1650</v>
      </c>
      <c r="AZ146" s="114">
        <f t="shared" si="968"/>
        <v>1650</v>
      </c>
      <c r="BA146" s="114">
        <f t="shared" si="968"/>
        <v>1650</v>
      </c>
      <c r="BB146" s="114">
        <f t="shared" si="968"/>
        <v>1800</v>
      </c>
      <c r="BC146" s="114">
        <f t="shared" si="968"/>
        <v>1800</v>
      </c>
      <c r="BD146" s="114">
        <f t="shared" si="968"/>
        <v>1800</v>
      </c>
      <c r="BE146" s="114">
        <f t="shared" si="968"/>
        <v>1800</v>
      </c>
      <c r="BF146" s="114">
        <f t="shared" si="968"/>
        <v>1800</v>
      </c>
      <c r="BG146" s="114">
        <f t="shared" si="968"/>
        <v>1800</v>
      </c>
      <c r="BH146" s="114">
        <f t="shared" si="968"/>
        <v>1800</v>
      </c>
      <c r="BI146" s="114">
        <f t="shared" si="968"/>
        <v>1800</v>
      </c>
      <c r="BJ146" s="114">
        <f t="shared" si="968"/>
        <v>1800</v>
      </c>
    </row>
    <row r="147" spans="1:62" outlineLevel="1" x14ac:dyDescent="0.25">
      <c r="A147" s="18" t="s">
        <v>479</v>
      </c>
      <c r="B147" s="124"/>
      <c r="C147" s="114">
        <f>C69*$H$12</f>
        <v>100</v>
      </c>
      <c r="D147" s="114">
        <f t="shared" ref="D147:N147" si="969">D69*$H$12</f>
        <v>100</v>
      </c>
      <c r="E147" s="114">
        <f t="shared" si="969"/>
        <v>100</v>
      </c>
      <c r="F147" s="114">
        <f t="shared" si="969"/>
        <v>100</v>
      </c>
      <c r="G147" s="114">
        <f t="shared" si="969"/>
        <v>100</v>
      </c>
      <c r="H147" s="114">
        <f t="shared" si="969"/>
        <v>100</v>
      </c>
      <c r="I147" s="114">
        <f t="shared" si="969"/>
        <v>100</v>
      </c>
      <c r="J147" s="114">
        <f t="shared" si="969"/>
        <v>300</v>
      </c>
      <c r="K147" s="114">
        <f t="shared" si="969"/>
        <v>400</v>
      </c>
      <c r="L147" s="114">
        <f t="shared" si="969"/>
        <v>600</v>
      </c>
      <c r="M147" s="114">
        <f t="shared" si="969"/>
        <v>800</v>
      </c>
      <c r="N147" s="114">
        <f t="shared" si="969"/>
        <v>1000</v>
      </c>
      <c r="O147" s="114">
        <f t="shared" ref="O147:BJ147" si="970">O69*$H$12</f>
        <v>1000</v>
      </c>
      <c r="P147" s="114">
        <f t="shared" si="970"/>
        <v>1000</v>
      </c>
      <c r="Q147" s="114">
        <f t="shared" si="970"/>
        <v>1000</v>
      </c>
      <c r="R147" s="114">
        <f t="shared" si="970"/>
        <v>1000</v>
      </c>
      <c r="S147" s="114">
        <f t="shared" si="970"/>
        <v>1000</v>
      </c>
      <c r="T147" s="114">
        <f t="shared" si="970"/>
        <v>1000</v>
      </c>
      <c r="U147" s="114">
        <f t="shared" si="970"/>
        <v>1000</v>
      </c>
      <c r="V147" s="114">
        <f t="shared" si="970"/>
        <v>1000</v>
      </c>
      <c r="W147" s="114">
        <f t="shared" si="970"/>
        <v>1000</v>
      </c>
      <c r="X147" s="114">
        <f t="shared" si="970"/>
        <v>1100</v>
      </c>
      <c r="Y147" s="114">
        <f t="shared" si="970"/>
        <v>1100</v>
      </c>
      <c r="Z147" s="114">
        <f t="shared" si="970"/>
        <v>1100</v>
      </c>
      <c r="AA147" s="114">
        <f t="shared" si="970"/>
        <v>1100</v>
      </c>
      <c r="AB147" s="114">
        <f t="shared" si="970"/>
        <v>1100</v>
      </c>
      <c r="AC147" s="114">
        <f t="shared" si="970"/>
        <v>1100</v>
      </c>
      <c r="AD147" s="114">
        <f t="shared" si="970"/>
        <v>1100</v>
      </c>
      <c r="AE147" s="114">
        <f t="shared" si="970"/>
        <v>1100</v>
      </c>
      <c r="AF147" s="114">
        <f t="shared" si="970"/>
        <v>1100</v>
      </c>
      <c r="AG147" s="114">
        <f t="shared" si="970"/>
        <v>1100</v>
      </c>
      <c r="AH147" s="114">
        <f t="shared" si="970"/>
        <v>1100</v>
      </c>
      <c r="AI147" s="114">
        <f t="shared" si="970"/>
        <v>1100</v>
      </c>
      <c r="AJ147" s="114">
        <f t="shared" si="970"/>
        <v>1100</v>
      </c>
      <c r="AK147" s="114">
        <f t="shared" si="970"/>
        <v>1100</v>
      </c>
      <c r="AL147" s="114">
        <f t="shared" si="970"/>
        <v>1100</v>
      </c>
      <c r="AM147" s="114">
        <f t="shared" si="970"/>
        <v>1100</v>
      </c>
      <c r="AN147" s="114">
        <f t="shared" si="970"/>
        <v>1100</v>
      </c>
      <c r="AO147" s="114">
        <f t="shared" si="970"/>
        <v>1100</v>
      </c>
      <c r="AP147" s="114">
        <f t="shared" si="970"/>
        <v>1100</v>
      </c>
      <c r="AQ147" s="114">
        <f t="shared" si="970"/>
        <v>1100</v>
      </c>
      <c r="AR147" s="114">
        <f t="shared" si="970"/>
        <v>1100</v>
      </c>
      <c r="AS147" s="114">
        <f t="shared" si="970"/>
        <v>1100</v>
      </c>
      <c r="AT147" s="114">
        <f t="shared" si="970"/>
        <v>1100</v>
      </c>
      <c r="AU147" s="114">
        <f t="shared" si="970"/>
        <v>1100</v>
      </c>
      <c r="AV147" s="114">
        <f t="shared" si="970"/>
        <v>1100</v>
      </c>
      <c r="AW147" s="114">
        <f t="shared" si="970"/>
        <v>1100</v>
      </c>
      <c r="AX147" s="114">
        <f t="shared" si="970"/>
        <v>1100</v>
      </c>
      <c r="AY147" s="114">
        <f t="shared" si="970"/>
        <v>1100</v>
      </c>
      <c r="AZ147" s="114">
        <f t="shared" si="970"/>
        <v>1100</v>
      </c>
      <c r="BA147" s="114">
        <f t="shared" si="970"/>
        <v>1100</v>
      </c>
      <c r="BB147" s="114">
        <f t="shared" si="970"/>
        <v>1200</v>
      </c>
      <c r="BC147" s="114">
        <f t="shared" si="970"/>
        <v>1200</v>
      </c>
      <c r="BD147" s="114">
        <f t="shared" si="970"/>
        <v>1200</v>
      </c>
      <c r="BE147" s="114">
        <f t="shared" si="970"/>
        <v>1200</v>
      </c>
      <c r="BF147" s="114">
        <f t="shared" si="970"/>
        <v>1200</v>
      </c>
      <c r="BG147" s="114">
        <f t="shared" si="970"/>
        <v>1200</v>
      </c>
      <c r="BH147" s="114">
        <f t="shared" si="970"/>
        <v>1200</v>
      </c>
      <c r="BI147" s="114">
        <f t="shared" si="970"/>
        <v>1200</v>
      </c>
      <c r="BJ147" s="114">
        <f t="shared" si="970"/>
        <v>1200</v>
      </c>
    </row>
    <row r="148" spans="1:62" ht="17" outlineLevel="1" thickBot="1" x14ac:dyDescent="0.3">
      <c r="A148" s="18" t="s">
        <v>477</v>
      </c>
      <c r="B148" s="124"/>
      <c r="C148" s="114">
        <f t="shared" ref="C148:N148" si="971">C54*$B$13</f>
        <v>105</v>
      </c>
      <c r="D148" s="114">
        <f t="shared" si="971"/>
        <v>105</v>
      </c>
      <c r="E148" s="114">
        <f t="shared" si="971"/>
        <v>105</v>
      </c>
      <c r="F148" s="114">
        <f t="shared" si="971"/>
        <v>210</v>
      </c>
      <c r="G148" s="114">
        <f t="shared" si="971"/>
        <v>210</v>
      </c>
      <c r="H148" s="114">
        <f t="shared" si="971"/>
        <v>210</v>
      </c>
      <c r="I148" s="114">
        <f t="shared" si="971"/>
        <v>210</v>
      </c>
      <c r="J148" s="114">
        <f t="shared" si="971"/>
        <v>420</v>
      </c>
      <c r="K148" s="114">
        <f t="shared" si="971"/>
        <v>870</v>
      </c>
      <c r="L148" s="114">
        <f t="shared" si="971"/>
        <v>2070</v>
      </c>
      <c r="M148" s="114">
        <f t="shared" si="971"/>
        <v>3120</v>
      </c>
      <c r="N148" s="114">
        <f t="shared" si="971"/>
        <v>4020</v>
      </c>
      <c r="O148" s="114">
        <f t="shared" ref="O148:BJ148" si="972">O54*$B$13</f>
        <v>4020</v>
      </c>
      <c r="P148" s="114">
        <f t="shared" si="972"/>
        <v>4020</v>
      </c>
      <c r="Q148" s="114">
        <f t="shared" si="972"/>
        <v>4020</v>
      </c>
      <c r="R148" s="114">
        <f t="shared" si="972"/>
        <v>4020</v>
      </c>
      <c r="S148" s="114">
        <f t="shared" si="972"/>
        <v>4020</v>
      </c>
      <c r="T148" s="114">
        <f t="shared" si="972"/>
        <v>4020</v>
      </c>
      <c r="U148" s="114">
        <f t="shared" si="972"/>
        <v>4020</v>
      </c>
      <c r="V148" s="114">
        <f t="shared" si="972"/>
        <v>4020</v>
      </c>
      <c r="W148" s="114">
        <f t="shared" si="972"/>
        <v>4020</v>
      </c>
      <c r="X148" s="114">
        <f t="shared" si="972"/>
        <v>4020</v>
      </c>
      <c r="Y148" s="114">
        <f t="shared" si="972"/>
        <v>4020</v>
      </c>
      <c r="Z148" s="114">
        <f t="shared" si="972"/>
        <v>4020</v>
      </c>
      <c r="AA148" s="114">
        <f t="shared" si="972"/>
        <v>4020</v>
      </c>
      <c r="AB148" s="114">
        <f t="shared" si="972"/>
        <v>4020</v>
      </c>
      <c r="AC148" s="114">
        <f t="shared" si="972"/>
        <v>4020</v>
      </c>
      <c r="AD148" s="114">
        <f t="shared" si="972"/>
        <v>4020</v>
      </c>
      <c r="AE148" s="114">
        <f t="shared" si="972"/>
        <v>4020</v>
      </c>
      <c r="AF148" s="114">
        <f t="shared" si="972"/>
        <v>4020</v>
      </c>
      <c r="AG148" s="114">
        <f t="shared" si="972"/>
        <v>4020</v>
      </c>
      <c r="AH148" s="114">
        <f t="shared" si="972"/>
        <v>4020</v>
      </c>
      <c r="AI148" s="114">
        <f t="shared" si="972"/>
        <v>4020</v>
      </c>
      <c r="AJ148" s="114">
        <f t="shared" si="972"/>
        <v>4020</v>
      </c>
      <c r="AK148" s="114">
        <f t="shared" si="972"/>
        <v>4020</v>
      </c>
      <c r="AL148" s="114">
        <f t="shared" si="972"/>
        <v>4020</v>
      </c>
      <c r="AM148" s="114">
        <f t="shared" si="972"/>
        <v>4020</v>
      </c>
      <c r="AN148" s="114">
        <f t="shared" si="972"/>
        <v>4020</v>
      </c>
      <c r="AO148" s="114">
        <f t="shared" si="972"/>
        <v>4020</v>
      </c>
      <c r="AP148" s="114">
        <f t="shared" si="972"/>
        <v>4020</v>
      </c>
      <c r="AQ148" s="114">
        <f t="shared" si="972"/>
        <v>4020</v>
      </c>
      <c r="AR148" s="114">
        <f t="shared" si="972"/>
        <v>4020</v>
      </c>
      <c r="AS148" s="114">
        <f t="shared" si="972"/>
        <v>4020</v>
      </c>
      <c r="AT148" s="114">
        <f t="shared" si="972"/>
        <v>4020</v>
      </c>
      <c r="AU148" s="114">
        <f t="shared" si="972"/>
        <v>4020</v>
      </c>
      <c r="AV148" s="114">
        <f t="shared" si="972"/>
        <v>4020</v>
      </c>
      <c r="AW148" s="114">
        <f t="shared" si="972"/>
        <v>4020</v>
      </c>
      <c r="AX148" s="114">
        <f t="shared" si="972"/>
        <v>4020</v>
      </c>
      <c r="AY148" s="114">
        <f t="shared" si="972"/>
        <v>4020</v>
      </c>
      <c r="AZ148" s="114">
        <f t="shared" si="972"/>
        <v>4020</v>
      </c>
      <c r="BA148" s="114">
        <f t="shared" si="972"/>
        <v>4020</v>
      </c>
      <c r="BB148" s="114">
        <f t="shared" si="972"/>
        <v>4020</v>
      </c>
      <c r="BC148" s="114">
        <f t="shared" si="972"/>
        <v>4020</v>
      </c>
      <c r="BD148" s="114">
        <f t="shared" si="972"/>
        <v>4020</v>
      </c>
      <c r="BE148" s="114">
        <f t="shared" si="972"/>
        <v>4020</v>
      </c>
      <c r="BF148" s="114">
        <f t="shared" si="972"/>
        <v>4020</v>
      </c>
      <c r="BG148" s="114">
        <f t="shared" si="972"/>
        <v>4020</v>
      </c>
      <c r="BH148" s="114">
        <f t="shared" si="972"/>
        <v>4020</v>
      </c>
      <c r="BI148" s="114">
        <f t="shared" si="972"/>
        <v>4020</v>
      </c>
      <c r="BJ148" s="114">
        <f t="shared" si="972"/>
        <v>4020</v>
      </c>
    </row>
    <row r="149" spans="1:62" x14ac:dyDescent="0.25">
      <c r="A149" s="113" t="s">
        <v>248</v>
      </c>
      <c r="B149" s="120"/>
      <c r="C149" s="120">
        <f>SUM(C144:C148)</f>
        <v>4771</v>
      </c>
      <c r="D149" s="120">
        <f>SUM(D144:D148)</f>
        <v>4991.8</v>
      </c>
      <c r="E149" s="120">
        <f t="shared" ref="E149:N149" si="973">SUM(E144:E148)</f>
        <v>4991.8</v>
      </c>
      <c r="F149" s="120">
        <f t="shared" si="973"/>
        <v>9236.7999999999993</v>
      </c>
      <c r="G149" s="120">
        <f t="shared" si="973"/>
        <v>9443.7999999999993</v>
      </c>
      <c r="H149" s="120">
        <f t="shared" si="973"/>
        <v>9443.7999999999993</v>
      </c>
      <c r="I149" s="120">
        <f t="shared" si="973"/>
        <v>9443.7999999999993</v>
      </c>
      <c r="J149" s="120">
        <f t="shared" si="973"/>
        <v>15673.8</v>
      </c>
      <c r="K149" s="120">
        <f t="shared" si="973"/>
        <v>19777.8</v>
      </c>
      <c r="L149" s="120">
        <f t="shared" si="973"/>
        <v>32122.2</v>
      </c>
      <c r="M149" s="120">
        <f>SUM(M144:M148)</f>
        <v>45788.6</v>
      </c>
      <c r="N149" s="120">
        <f t="shared" si="973"/>
        <v>54024.2</v>
      </c>
      <c r="O149" s="120">
        <f t="shared" ref="O149:BJ149" si="974">SUM(O144:O148)</f>
        <v>54337</v>
      </c>
      <c r="P149" s="120">
        <f t="shared" si="974"/>
        <v>54337</v>
      </c>
      <c r="Q149" s="120">
        <f t="shared" si="974"/>
        <v>54337</v>
      </c>
      <c r="R149" s="120">
        <f t="shared" si="974"/>
        <v>54337</v>
      </c>
      <c r="S149" s="120">
        <f t="shared" si="974"/>
        <v>54337</v>
      </c>
      <c r="T149" s="120">
        <f t="shared" si="974"/>
        <v>54337</v>
      </c>
      <c r="U149" s="120">
        <f t="shared" si="974"/>
        <v>54337</v>
      </c>
      <c r="V149" s="120">
        <f t="shared" si="974"/>
        <v>54337</v>
      </c>
      <c r="W149" s="120">
        <f t="shared" si="974"/>
        <v>54337</v>
      </c>
      <c r="X149" s="120">
        <f t="shared" si="974"/>
        <v>54587</v>
      </c>
      <c r="Y149" s="120">
        <f t="shared" si="974"/>
        <v>54587</v>
      </c>
      <c r="Z149" s="120">
        <f t="shared" si="974"/>
        <v>54587</v>
      </c>
      <c r="AA149" s="120">
        <f t="shared" si="974"/>
        <v>54587</v>
      </c>
      <c r="AB149" s="120">
        <f t="shared" si="974"/>
        <v>54587</v>
      </c>
      <c r="AC149" s="120">
        <f t="shared" si="974"/>
        <v>54587</v>
      </c>
      <c r="AD149" s="120">
        <f t="shared" si="974"/>
        <v>54587</v>
      </c>
      <c r="AE149" s="120">
        <f t="shared" si="974"/>
        <v>54587</v>
      </c>
      <c r="AF149" s="120">
        <f t="shared" si="974"/>
        <v>54587</v>
      </c>
      <c r="AG149" s="120">
        <f t="shared" si="974"/>
        <v>54587</v>
      </c>
      <c r="AH149" s="120">
        <f t="shared" si="974"/>
        <v>54587</v>
      </c>
      <c r="AI149" s="120">
        <f t="shared" si="974"/>
        <v>54587</v>
      </c>
      <c r="AJ149" s="120">
        <f t="shared" si="974"/>
        <v>54587</v>
      </c>
      <c r="AK149" s="120">
        <f t="shared" si="974"/>
        <v>54587</v>
      </c>
      <c r="AL149" s="120">
        <f t="shared" si="974"/>
        <v>54587</v>
      </c>
      <c r="AM149" s="120">
        <f t="shared" si="974"/>
        <v>54587</v>
      </c>
      <c r="AN149" s="120">
        <f t="shared" si="974"/>
        <v>54587</v>
      </c>
      <c r="AO149" s="120">
        <f t="shared" si="974"/>
        <v>54587</v>
      </c>
      <c r="AP149" s="120">
        <f t="shared" si="974"/>
        <v>54587</v>
      </c>
      <c r="AQ149" s="120">
        <f t="shared" si="974"/>
        <v>54587</v>
      </c>
      <c r="AR149" s="120">
        <f t="shared" si="974"/>
        <v>54587</v>
      </c>
      <c r="AS149" s="120">
        <f t="shared" si="974"/>
        <v>54587</v>
      </c>
      <c r="AT149" s="120">
        <f t="shared" si="974"/>
        <v>54587</v>
      </c>
      <c r="AU149" s="120">
        <f t="shared" si="974"/>
        <v>54587</v>
      </c>
      <c r="AV149" s="120">
        <f t="shared" si="974"/>
        <v>54587</v>
      </c>
      <c r="AW149" s="120">
        <f t="shared" si="974"/>
        <v>54587</v>
      </c>
      <c r="AX149" s="120">
        <f t="shared" si="974"/>
        <v>54587</v>
      </c>
      <c r="AY149" s="120">
        <f t="shared" si="974"/>
        <v>54587</v>
      </c>
      <c r="AZ149" s="120">
        <f t="shared" si="974"/>
        <v>54587</v>
      </c>
      <c r="BA149" s="120">
        <f t="shared" si="974"/>
        <v>54587</v>
      </c>
      <c r="BB149" s="120">
        <f t="shared" si="974"/>
        <v>54837</v>
      </c>
      <c r="BC149" s="120">
        <f t="shared" si="974"/>
        <v>54837</v>
      </c>
      <c r="BD149" s="120">
        <f t="shared" si="974"/>
        <v>54837</v>
      </c>
      <c r="BE149" s="120">
        <f t="shared" si="974"/>
        <v>54837</v>
      </c>
      <c r="BF149" s="120">
        <f t="shared" si="974"/>
        <v>54837</v>
      </c>
      <c r="BG149" s="120">
        <f t="shared" si="974"/>
        <v>54837</v>
      </c>
      <c r="BH149" s="120">
        <f t="shared" si="974"/>
        <v>54837</v>
      </c>
      <c r="BI149" s="120">
        <f t="shared" si="974"/>
        <v>54837</v>
      </c>
      <c r="BJ149" s="120">
        <f t="shared" si="974"/>
        <v>54837</v>
      </c>
    </row>
    <row r="150" spans="1:62" x14ac:dyDescent="0.25">
      <c r="A150" s="129" t="s">
        <v>626</v>
      </c>
      <c r="B150" s="130"/>
      <c r="C150" s="130">
        <f>C149-C144</f>
        <v>355</v>
      </c>
      <c r="D150" s="130">
        <f t="shared" ref="D150:BJ150" si="975">D149-D144</f>
        <v>575.80000000000018</v>
      </c>
      <c r="E150" s="130">
        <f t="shared" si="975"/>
        <v>575.80000000000018</v>
      </c>
      <c r="F150" s="130">
        <f t="shared" si="975"/>
        <v>680.79999999999927</v>
      </c>
      <c r="G150" s="130">
        <f t="shared" si="975"/>
        <v>887.79999999999927</v>
      </c>
      <c r="H150" s="130">
        <f t="shared" si="975"/>
        <v>887.79999999999927</v>
      </c>
      <c r="I150" s="130">
        <f t="shared" si="975"/>
        <v>887.79999999999927</v>
      </c>
      <c r="J150" s="130">
        <f t="shared" si="975"/>
        <v>1597.7999999999993</v>
      </c>
      <c r="K150" s="130">
        <f t="shared" si="975"/>
        <v>2573.7999999999993</v>
      </c>
      <c r="L150" s="130">
        <f t="shared" si="975"/>
        <v>4430.2000000000007</v>
      </c>
      <c r="M150" s="130">
        <f t="shared" si="975"/>
        <v>6504.5999999999985</v>
      </c>
      <c r="N150" s="130">
        <f t="shared" si="975"/>
        <v>8484.1999999999971</v>
      </c>
      <c r="O150" s="130">
        <f t="shared" si="975"/>
        <v>8797</v>
      </c>
      <c r="P150" s="130">
        <f t="shared" si="975"/>
        <v>8797</v>
      </c>
      <c r="Q150" s="130">
        <f t="shared" si="975"/>
        <v>8797</v>
      </c>
      <c r="R150" s="130">
        <f t="shared" si="975"/>
        <v>8797</v>
      </c>
      <c r="S150" s="130">
        <f t="shared" si="975"/>
        <v>8797</v>
      </c>
      <c r="T150" s="130">
        <f t="shared" si="975"/>
        <v>8797</v>
      </c>
      <c r="U150" s="130">
        <f t="shared" si="975"/>
        <v>8797</v>
      </c>
      <c r="V150" s="130">
        <f t="shared" si="975"/>
        <v>8797</v>
      </c>
      <c r="W150" s="130">
        <f t="shared" si="975"/>
        <v>8797</v>
      </c>
      <c r="X150" s="130">
        <f t="shared" si="975"/>
        <v>9047</v>
      </c>
      <c r="Y150" s="130">
        <f t="shared" si="975"/>
        <v>9047</v>
      </c>
      <c r="Z150" s="130">
        <f t="shared" si="975"/>
        <v>9047</v>
      </c>
      <c r="AA150" s="130">
        <f t="shared" si="975"/>
        <v>9047</v>
      </c>
      <c r="AB150" s="130">
        <f t="shared" si="975"/>
        <v>9047</v>
      </c>
      <c r="AC150" s="130">
        <f t="shared" si="975"/>
        <v>9047</v>
      </c>
      <c r="AD150" s="130">
        <f t="shared" si="975"/>
        <v>9047</v>
      </c>
      <c r="AE150" s="130">
        <f t="shared" si="975"/>
        <v>9047</v>
      </c>
      <c r="AF150" s="130">
        <f t="shared" si="975"/>
        <v>9047</v>
      </c>
      <c r="AG150" s="130">
        <f t="shared" si="975"/>
        <v>9047</v>
      </c>
      <c r="AH150" s="130">
        <f t="shared" si="975"/>
        <v>9047</v>
      </c>
      <c r="AI150" s="130">
        <f t="shared" si="975"/>
        <v>9047</v>
      </c>
      <c r="AJ150" s="130">
        <f t="shared" si="975"/>
        <v>9047</v>
      </c>
      <c r="AK150" s="130">
        <f t="shared" si="975"/>
        <v>9047</v>
      </c>
      <c r="AL150" s="130">
        <f t="shared" si="975"/>
        <v>9047</v>
      </c>
      <c r="AM150" s="130">
        <f t="shared" si="975"/>
        <v>9047</v>
      </c>
      <c r="AN150" s="130">
        <f t="shared" si="975"/>
        <v>9047</v>
      </c>
      <c r="AO150" s="130">
        <f t="shared" si="975"/>
        <v>9047</v>
      </c>
      <c r="AP150" s="130">
        <f t="shared" si="975"/>
        <v>9047</v>
      </c>
      <c r="AQ150" s="130">
        <f t="shared" si="975"/>
        <v>9047</v>
      </c>
      <c r="AR150" s="130">
        <f t="shared" si="975"/>
        <v>9047</v>
      </c>
      <c r="AS150" s="130">
        <f t="shared" si="975"/>
        <v>9047</v>
      </c>
      <c r="AT150" s="130">
        <f t="shared" si="975"/>
        <v>9047</v>
      </c>
      <c r="AU150" s="130">
        <f t="shared" si="975"/>
        <v>9047</v>
      </c>
      <c r="AV150" s="130">
        <f t="shared" si="975"/>
        <v>9047</v>
      </c>
      <c r="AW150" s="130">
        <f t="shared" si="975"/>
        <v>9047</v>
      </c>
      <c r="AX150" s="130">
        <f t="shared" si="975"/>
        <v>9047</v>
      </c>
      <c r="AY150" s="130">
        <f t="shared" si="975"/>
        <v>9047</v>
      </c>
      <c r="AZ150" s="130">
        <f t="shared" si="975"/>
        <v>9047</v>
      </c>
      <c r="BA150" s="130">
        <f t="shared" si="975"/>
        <v>9047</v>
      </c>
      <c r="BB150" s="130">
        <f t="shared" si="975"/>
        <v>9297</v>
      </c>
      <c r="BC150" s="130">
        <f t="shared" si="975"/>
        <v>9297</v>
      </c>
      <c r="BD150" s="130">
        <f t="shared" si="975"/>
        <v>9297</v>
      </c>
      <c r="BE150" s="130">
        <f t="shared" si="975"/>
        <v>9297</v>
      </c>
      <c r="BF150" s="130">
        <f t="shared" si="975"/>
        <v>9297</v>
      </c>
      <c r="BG150" s="130">
        <f t="shared" si="975"/>
        <v>9297</v>
      </c>
      <c r="BH150" s="130">
        <f t="shared" si="975"/>
        <v>9297</v>
      </c>
      <c r="BI150" s="130">
        <f t="shared" si="975"/>
        <v>9297</v>
      </c>
      <c r="BJ150" s="130">
        <f t="shared" si="975"/>
        <v>9297</v>
      </c>
    </row>
    <row r="152" spans="1:62" x14ac:dyDescent="0.25">
      <c r="A152" s="3" t="s">
        <v>56</v>
      </c>
      <c r="B152" s="131"/>
      <c r="C152" s="131">
        <v>43831</v>
      </c>
      <c r="D152" s="131">
        <v>43862</v>
      </c>
      <c r="E152" s="131">
        <v>43891</v>
      </c>
      <c r="F152" s="131">
        <v>43922</v>
      </c>
      <c r="G152" s="131">
        <v>43952</v>
      </c>
      <c r="H152" s="131">
        <v>43983</v>
      </c>
      <c r="I152" s="131">
        <v>44013</v>
      </c>
      <c r="J152" s="131">
        <v>44044</v>
      </c>
      <c r="K152" s="131">
        <v>44075</v>
      </c>
      <c r="L152" s="131">
        <v>44105</v>
      </c>
      <c r="M152" s="131">
        <v>44136</v>
      </c>
      <c r="N152" s="131">
        <v>44166</v>
      </c>
      <c r="O152" s="131">
        <v>44197</v>
      </c>
      <c r="P152" s="131">
        <v>44228</v>
      </c>
      <c r="Q152" s="131">
        <v>44256</v>
      </c>
      <c r="R152" s="131">
        <v>44287</v>
      </c>
      <c r="S152" s="131">
        <v>44317</v>
      </c>
      <c r="T152" s="131">
        <v>44348</v>
      </c>
      <c r="U152" s="131">
        <v>44378</v>
      </c>
      <c r="V152" s="131">
        <v>44409</v>
      </c>
      <c r="W152" s="131">
        <v>44440</v>
      </c>
      <c r="X152" s="131">
        <v>44470</v>
      </c>
      <c r="Y152" s="131">
        <v>44501</v>
      </c>
      <c r="Z152" s="131">
        <v>44531</v>
      </c>
      <c r="AA152" s="131">
        <v>44562</v>
      </c>
      <c r="AB152" s="131">
        <v>44593</v>
      </c>
      <c r="AC152" s="131">
        <v>44621</v>
      </c>
      <c r="AD152" s="131">
        <v>44652</v>
      </c>
      <c r="AE152" s="131">
        <v>44682</v>
      </c>
      <c r="AF152" s="131">
        <v>44713</v>
      </c>
      <c r="AG152" s="131">
        <v>44743</v>
      </c>
      <c r="AH152" s="131">
        <v>44774</v>
      </c>
      <c r="AI152" s="131">
        <v>44805</v>
      </c>
      <c r="AJ152" s="131">
        <v>44835</v>
      </c>
      <c r="AK152" s="131">
        <v>44866</v>
      </c>
      <c r="AL152" s="131">
        <v>44896</v>
      </c>
      <c r="AM152" s="131">
        <v>44927</v>
      </c>
      <c r="AN152" s="131">
        <v>44958</v>
      </c>
      <c r="AO152" s="131">
        <v>44986</v>
      </c>
      <c r="AP152" s="131">
        <v>45017</v>
      </c>
      <c r="AQ152" s="131">
        <v>45047</v>
      </c>
      <c r="AR152" s="131">
        <v>45078</v>
      </c>
      <c r="AS152" s="131">
        <v>45108</v>
      </c>
      <c r="AT152" s="131">
        <v>45139</v>
      </c>
      <c r="AU152" s="131">
        <v>45170</v>
      </c>
      <c r="AV152" s="131">
        <v>45200</v>
      </c>
      <c r="AW152" s="131">
        <v>45231</v>
      </c>
      <c r="AX152" s="131">
        <v>45261</v>
      </c>
      <c r="AY152" s="131">
        <v>45292</v>
      </c>
      <c r="AZ152" s="131">
        <v>45323</v>
      </c>
      <c r="BA152" s="131">
        <v>45352</v>
      </c>
      <c r="BB152" s="131">
        <v>45383</v>
      </c>
      <c r="BC152" s="131">
        <v>45413</v>
      </c>
      <c r="BD152" s="131">
        <v>45444</v>
      </c>
      <c r="BE152" s="131">
        <v>45474</v>
      </c>
      <c r="BF152" s="131">
        <v>45505</v>
      </c>
      <c r="BG152" s="131">
        <v>45536</v>
      </c>
      <c r="BH152" s="131">
        <v>45566</v>
      </c>
      <c r="BI152" s="131">
        <v>45597</v>
      </c>
      <c r="BJ152" s="131">
        <v>45627</v>
      </c>
    </row>
    <row r="153" spans="1:62" outlineLevel="1" x14ac:dyDescent="0.25">
      <c r="A153" s="18" t="s">
        <v>249</v>
      </c>
      <c r="B153" s="124"/>
      <c r="C153" s="114">
        <f>C127</f>
        <v>1820</v>
      </c>
      <c r="D153" s="114">
        <f t="shared" ref="D153:N153" si="976">D127</f>
        <v>3640</v>
      </c>
      <c r="E153" s="114">
        <f t="shared" si="976"/>
        <v>5460</v>
      </c>
      <c r="F153" s="114">
        <f t="shared" si="976"/>
        <v>9100</v>
      </c>
      <c r="G153" s="114">
        <f t="shared" si="976"/>
        <v>12740</v>
      </c>
      <c r="H153" s="114">
        <f t="shared" si="976"/>
        <v>16380</v>
      </c>
      <c r="I153" s="114">
        <f t="shared" si="976"/>
        <v>20020</v>
      </c>
      <c r="J153" s="114">
        <f t="shared" si="976"/>
        <v>27300</v>
      </c>
      <c r="K153" s="114">
        <f t="shared" si="976"/>
        <v>35337.5</v>
      </c>
      <c r="L153" s="114">
        <f t="shared" si="976"/>
        <v>46840</v>
      </c>
      <c r="M153" s="114">
        <f t="shared" si="976"/>
        <v>61050</v>
      </c>
      <c r="N153" s="114">
        <f t="shared" si="976"/>
        <v>78725</v>
      </c>
      <c r="O153" s="114">
        <f t="shared" ref="O153:BJ153" si="977">O127</f>
        <v>96439</v>
      </c>
      <c r="P153" s="114">
        <f t="shared" si="977"/>
        <v>114192.78</v>
      </c>
      <c r="Q153" s="114">
        <f t="shared" si="977"/>
        <v>131987.13559999998</v>
      </c>
      <c r="R153" s="114">
        <f t="shared" si="977"/>
        <v>149822.87831199999</v>
      </c>
      <c r="S153" s="114">
        <f t="shared" si="977"/>
        <v>167700.83587824</v>
      </c>
      <c r="T153" s="114">
        <f t="shared" si="977"/>
        <v>185621.85259580481</v>
      </c>
      <c r="U153" s="114">
        <f t="shared" si="977"/>
        <v>203586.7896477209</v>
      </c>
      <c r="V153" s="114">
        <f t="shared" si="977"/>
        <v>221596.52544067532</v>
      </c>
      <c r="W153" s="114">
        <f t="shared" si="977"/>
        <v>239651.95594948882</v>
      </c>
      <c r="X153" s="114">
        <f t="shared" si="977"/>
        <v>257753.9950684786</v>
      </c>
      <c r="Y153" s="114">
        <f t="shared" si="977"/>
        <v>275903.57496984815</v>
      </c>
      <c r="Z153" s="114">
        <f t="shared" si="977"/>
        <v>294101.64646924514</v>
      </c>
      <c r="AA153" s="114">
        <f t="shared" si="977"/>
        <v>312349.17939863005</v>
      </c>
      <c r="AB153" s="114">
        <f t="shared" si="977"/>
        <v>330647.16298660263</v>
      </c>
      <c r="AC153" s="114">
        <f t="shared" si="977"/>
        <v>348996.60624633468</v>
      </c>
      <c r="AD153" s="114">
        <f t="shared" si="977"/>
        <v>367398.53837126138</v>
      </c>
      <c r="AE153" s="114">
        <f t="shared" si="977"/>
        <v>385854.00913868664</v>
      </c>
      <c r="AF153" s="114">
        <f t="shared" si="977"/>
        <v>404364.08932146034</v>
      </c>
      <c r="AG153" s="114">
        <f t="shared" si="977"/>
        <v>422929.87110788957</v>
      </c>
      <c r="AH153" s="114">
        <f t="shared" si="977"/>
        <v>441552.46853004734</v>
      </c>
      <c r="AI153" s="114">
        <f t="shared" si="977"/>
        <v>460233.01790064829</v>
      </c>
      <c r="AJ153" s="114">
        <f t="shared" si="977"/>
        <v>478972.67825866124</v>
      </c>
      <c r="AK153" s="114">
        <f t="shared" si="977"/>
        <v>497772.6318238345</v>
      </c>
      <c r="AL153" s="114">
        <f t="shared" si="977"/>
        <v>516634.08446031116</v>
      </c>
      <c r="AM153" s="114">
        <f t="shared" si="977"/>
        <v>535558.26614951738</v>
      </c>
      <c r="AN153" s="114">
        <f t="shared" si="977"/>
        <v>554546.43147250777</v>
      </c>
      <c r="AO153" s="114">
        <f t="shared" si="977"/>
        <v>573599.86010195792</v>
      </c>
      <c r="AP153" s="114">
        <f t="shared" si="977"/>
        <v>592719.85730399704</v>
      </c>
      <c r="AQ153" s="114">
        <f t="shared" si="977"/>
        <v>611907.75445007696</v>
      </c>
      <c r="AR153" s="114">
        <f t="shared" si="977"/>
        <v>631164.90953907848</v>
      </c>
      <c r="AS153" s="114">
        <f t="shared" si="977"/>
        <v>650492.70772986009</v>
      </c>
      <c r="AT153" s="114">
        <f t="shared" si="977"/>
        <v>669892.56188445725</v>
      </c>
      <c r="AU153" s="114">
        <f t="shared" si="977"/>
        <v>689365.91312214651</v>
      </c>
      <c r="AV153" s="114">
        <f t="shared" si="977"/>
        <v>708914.23138458934</v>
      </c>
      <c r="AW153" s="114">
        <f t="shared" si="977"/>
        <v>728539.01601228118</v>
      </c>
      <c r="AX153" s="114">
        <f t="shared" si="977"/>
        <v>748241.79633252684</v>
      </c>
      <c r="AY153" s="114">
        <f t="shared" si="977"/>
        <v>768024.13225917739</v>
      </c>
      <c r="AZ153" s="114">
        <f t="shared" si="977"/>
        <v>787887.61490436085</v>
      </c>
      <c r="BA153" s="114">
        <f t="shared" si="977"/>
        <v>807833.86720244808</v>
      </c>
      <c r="BB153" s="114">
        <f t="shared" si="977"/>
        <v>827864.54454649705</v>
      </c>
      <c r="BC153" s="114">
        <f t="shared" si="977"/>
        <v>847981.33543742704</v>
      </c>
      <c r="BD153" s="114">
        <f t="shared" si="977"/>
        <v>868185.96214617556</v>
      </c>
      <c r="BE153" s="114">
        <f t="shared" si="977"/>
        <v>888480.1813890991</v>
      </c>
      <c r="BF153" s="114">
        <f t="shared" si="977"/>
        <v>908865.78501688107</v>
      </c>
      <c r="BG153" s="114">
        <f t="shared" si="977"/>
        <v>929344.60071721871</v>
      </c>
      <c r="BH153" s="114">
        <f t="shared" si="977"/>
        <v>949918.49273156305</v>
      </c>
      <c r="BI153" s="114">
        <f t="shared" si="977"/>
        <v>970589.3625861943</v>
      </c>
      <c r="BJ153" s="114">
        <f t="shared" si="977"/>
        <v>991359.14983791823</v>
      </c>
    </row>
    <row r="154" spans="1:62" ht="17" outlineLevel="1" thickBot="1" x14ac:dyDescent="0.3">
      <c r="A154" s="18" t="s">
        <v>112</v>
      </c>
      <c r="B154" s="124"/>
      <c r="C154" s="114">
        <f>C149</f>
        <v>4771</v>
      </c>
      <c r="D154" s="114">
        <f t="shared" ref="D154:N154" si="978">D149</f>
        <v>4991.8</v>
      </c>
      <c r="E154" s="114">
        <f t="shared" si="978"/>
        <v>4991.8</v>
      </c>
      <c r="F154" s="114">
        <f t="shared" si="978"/>
        <v>9236.7999999999993</v>
      </c>
      <c r="G154" s="114">
        <f t="shared" si="978"/>
        <v>9443.7999999999993</v>
      </c>
      <c r="H154" s="114">
        <f t="shared" si="978"/>
        <v>9443.7999999999993</v>
      </c>
      <c r="I154" s="114">
        <f t="shared" si="978"/>
        <v>9443.7999999999993</v>
      </c>
      <c r="J154" s="114">
        <f t="shared" si="978"/>
        <v>15673.8</v>
      </c>
      <c r="K154" s="114">
        <f t="shared" si="978"/>
        <v>19777.8</v>
      </c>
      <c r="L154" s="114">
        <f t="shared" si="978"/>
        <v>32122.2</v>
      </c>
      <c r="M154" s="114">
        <f t="shared" si="978"/>
        <v>45788.6</v>
      </c>
      <c r="N154" s="114">
        <f t="shared" si="978"/>
        <v>54024.2</v>
      </c>
      <c r="O154" s="114">
        <f t="shared" ref="O154:BJ154" si="979">O149</f>
        <v>54337</v>
      </c>
      <c r="P154" s="114">
        <f t="shared" si="979"/>
        <v>54337</v>
      </c>
      <c r="Q154" s="114">
        <f t="shared" si="979"/>
        <v>54337</v>
      </c>
      <c r="R154" s="114">
        <f t="shared" si="979"/>
        <v>54337</v>
      </c>
      <c r="S154" s="114">
        <f t="shared" si="979"/>
        <v>54337</v>
      </c>
      <c r="T154" s="114">
        <f t="shared" si="979"/>
        <v>54337</v>
      </c>
      <c r="U154" s="114">
        <f t="shared" si="979"/>
        <v>54337</v>
      </c>
      <c r="V154" s="114">
        <f t="shared" si="979"/>
        <v>54337</v>
      </c>
      <c r="W154" s="114">
        <f t="shared" si="979"/>
        <v>54337</v>
      </c>
      <c r="X154" s="114">
        <f t="shared" si="979"/>
        <v>54587</v>
      </c>
      <c r="Y154" s="114">
        <f t="shared" si="979"/>
        <v>54587</v>
      </c>
      <c r="Z154" s="114">
        <f t="shared" si="979"/>
        <v>54587</v>
      </c>
      <c r="AA154" s="114">
        <f t="shared" si="979"/>
        <v>54587</v>
      </c>
      <c r="AB154" s="114">
        <f t="shared" si="979"/>
        <v>54587</v>
      </c>
      <c r="AC154" s="114">
        <f t="shared" si="979"/>
        <v>54587</v>
      </c>
      <c r="AD154" s="114">
        <f t="shared" si="979"/>
        <v>54587</v>
      </c>
      <c r="AE154" s="114">
        <f t="shared" si="979"/>
        <v>54587</v>
      </c>
      <c r="AF154" s="114">
        <f t="shared" si="979"/>
        <v>54587</v>
      </c>
      <c r="AG154" s="114">
        <f t="shared" si="979"/>
        <v>54587</v>
      </c>
      <c r="AH154" s="114">
        <f t="shared" si="979"/>
        <v>54587</v>
      </c>
      <c r="AI154" s="114">
        <f t="shared" si="979"/>
        <v>54587</v>
      </c>
      <c r="AJ154" s="114">
        <f t="shared" si="979"/>
        <v>54587</v>
      </c>
      <c r="AK154" s="114">
        <f t="shared" si="979"/>
        <v>54587</v>
      </c>
      <c r="AL154" s="114">
        <f t="shared" si="979"/>
        <v>54587</v>
      </c>
      <c r="AM154" s="114">
        <f t="shared" si="979"/>
        <v>54587</v>
      </c>
      <c r="AN154" s="114">
        <f t="shared" si="979"/>
        <v>54587</v>
      </c>
      <c r="AO154" s="114">
        <f t="shared" si="979"/>
        <v>54587</v>
      </c>
      <c r="AP154" s="114">
        <f t="shared" si="979"/>
        <v>54587</v>
      </c>
      <c r="AQ154" s="114">
        <f t="shared" si="979"/>
        <v>54587</v>
      </c>
      <c r="AR154" s="114">
        <f t="shared" si="979"/>
        <v>54587</v>
      </c>
      <c r="AS154" s="114">
        <f t="shared" si="979"/>
        <v>54587</v>
      </c>
      <c r="AT154" s="114">
        <f t="shared" si="979"/>
        <v>54587</v>
      </c>
      <c r="AU154" s="114">
        <f t="shared" si="979"/>
        <v>54587</v>
      </c>
      <c r="AV154" s="114">
        <f t="shared" si="979"/>
        <v>54587</v>
      </c>
      <c r="AW154" s="114">
        <f t="shared" si="979"/>
        <v>54587</v>
      </c>
      <c r="AX154" s="114">
        <f t="shared" si="979"/>
        <v>54587</v>
      </c>
      <c r="AY154" s="114">
        <f t="shared" si="979"/>
        <v>54587</v>
      </c>
      <c r="AZ154" s="114">
        <f t="shared" si="979"/>
        <v>54587</v>
      </c>
      <c r="BA154" s="114">
        <f t="shared" si="979"/>
        <v>54587</v>
      </c>
      <c r="BB154" s="114">
        <f t="shared" si="979"/>
        <v>54837</v>
      </c>
      <c r="BC154" s="114">
        <f t="shared" si="979"/>
        <v>54837</v>
      </c>
      <c r="BD154" s="114">
        <f t="shared" si="979"/>
        <v>54837</v>
      </c>
      <c r="BE154" s="114">
        <f t="shared" si="979"/>
        <v>54837</v>
      </c>
      <c r="BF154" s="114">
        <f t="shared" si="979"/>
        <v>54837</v>
      </c>
      <c r="BG154" s="114">
        <f t="shared" si="979"/>
        <v>54837</v>
      </c>
      <c r="BH154" s="114">
        <f t="shared" si="979"/>
        <v>54837</v>
      </c>
      <c r="BI154" s="114">
        <f t="shared" si="979"/>
        <v>54837</v>
      </c>
      <c r="BJ154" s="114">
        <f t="shared" si="979"/>
        <v>54837</v>
      </c>
    </row>
    <row r="155" spans="1:62" x14ac:dyDescent="0.25">
      <c r="A155" s="113" t="s">
        <v>250</v>
      </c>
      <c r="B155" s="120"/>
      <c r="C155" s="120">
        <f>C153-C154</f>
        <v>-2951</v>
      </c>
      <c r="D155" s="120">
        <f t="shared" ref="D155:N155" si="980">D153-D154</f>
        <v>-1351.8000000000002</v>
      </c>
      <c r="E155" s="120">
        <f t="shared" si="980"/>
        <v>468.19999999999982</v>
      </c>
      <c r="F155" s="120">
        <f t="shared" si="980"/>
        <v>-136.79999999999927</v>
      </c>
      <c r="G155" s="120">
        <f t="shared" si="980"/>
        <v>3296.2000000000007</v>
      </c>
      <c r="H155" s="120">
        <f t="shared" si="980"/>
        <v>6936.2000000000007</v>
      </c>
      <c r="I155" s="120">
        <f t="shared" si="980"/>
        <v>10576.2</v>
      </c>
      <c r="J155" s="120">
        <f t="shared" si="980"/>
        <v>11626.2</v>
      </c>
      <c r="K155" s="120">
        <f t="shared" si="980"/>
        <v>15559.7</v>
      </c>
      <c r="L155" s="120">
        <f t="shared" si="980"/>
        <v>14717.8</v>
      </c>
      <c r="M155" s="120">
        <f t="shared" si="980"/>
        <v>15261.400000000001</v>
      </c>
      <c r="N155" s="120">
        <f t="shared" si="980"/>
        <v>24700.800000000003</v>
      </c>
      <c r="O155" s="120">
        <f t="shared" ref="O155:BJ155" si="981">O153-O154</f>
        <v>42102</v>
      </c>
      <c r="P155" s="120">
        <f t="shared" si="981"/>
        <v>59855.78</v>
      </c>
      <c r="Q155" s="120">
        <f t="shared" si="981"/>
        <v>77650.13559999998</v>
      </c>
      <c r="R155" s="120">
        <f t="shared" si="981"/>
        <v>95485.878311999986</v>
      </c>
      <c r="S155" s="120">
        <f t="shared" si="981"/>
        <v>113363.83587824</v>
      </c>
      <c r="T155" s="120">
        <f t="shared" si="981"/>
        <v>131284.85259580481</v>
      </c>
      <c r="U155" s="120">
        <f t="shared" si="981"/>
        <v>149249.7896477209</v>
      </c>
      <c r="V155" s="120">
        <f t="shared" si="981"/>
        <v>167259.52544067532</v>
      </c>
      <c r="W155" s="120">
        <f t="shared" si="981"/>
        <v>185314.95594948882</v>
      </c>
      <c r="X155" s="120">
        <f t="shared" si="981"/>
        <v>203166.9950684786</v>
      </c>
      <c r="Y155" s="120">
        <f t="shared" si="981"/>
        <v>221316.57496984815</v>
      </c>
      <c r="Z155" s="120">
        <f t="shared" si="981"/>
        <v>239514.64646924514</v>
      </c>
      <c r="AA155" s="120">
        <f t="shared" si="981"/>
        <v>257762.17939863005</v>
      </c>
      <c r="AB155" s="120">
        <f t="shared" si="981"/>
        <v>276060.16298660263</v>
      </c>
      <c r="AC155" s="120">
        <f t="shared" si="981"/>
        <v>294409.60624633468</v>
      </c>
      <c r="AD155" s="120">
        <f t="shared" si="981"/>
        <v>312811.53837126138</v>
      </c>
      <c r="AE155" s="120">
        <f t="shared" si="981"/>
        <v>331267.00913868664</v>
      </c>
      <c r="AF155" s="120">
        <f t="shared" si="981"/>
        <v>349777.08932146034</v>
      </c>
      <c r="AG155" s="120">
        <f t="shared" si="981"/>
        <v>368342.87110788957</v>
      </c>
      <c r="AH155" s="120">
        <f t="shared" si="981"/>
        <v>386965.46853004734</v>
      </c>
      <c r="AI155" s="120">
        <f t="shared" si="981"/>
        <v>405646.01790064829</v>
      </c>
      <c r="AJ155" s="120">
        <f t="shared" si="981"/>
        <v>424385.67825866124</v>
      </c>
      <c r="AK155" s="120">
        <f t="shared" si="981"/>
        <v>443185.6318238345</v>
      </c>
      <c r="AL155" s="120">
        <f t="shared" si="981"/>
        <v>462047.08446031116</v>
      </c>
      <c r="AM155" s="120">
        <f t="shared" si="981"/>
        <v>480971.26614951738</v>
      </c>
      <c r="AN155" s="120">
        <f t="shared" si="981"/>
        <v>499959.43147250777</v>
      </c>
      <c r="AO155" s="120">
        <f t="shared" si="981"/>
        <v>519012.86010195792</v>
      </c>
      <c r="AP155" s="120">
        <f t="shared" si="981"/>
        <v>538132.85730399704</v>
      </c>
      <c r="AQ155" s="120">
        <f t="shared" si="981"/>
        <v>557320.75445007696</v>
      </c>
      <c r="AR155" s="120">
        <f t="shared" si="981"/>
        <v>576577.90953907848</v>
      </c>
      <c r="AS155" s="120">
        <f t="shared" si="981"/>
        <v>595905.70772986009</v>
      </c>
      <c r="AT155" s="120">
        <f t="shared" si="981"/>
        <v>615305.56188445725</v>
      </c>
      <c r="AU155" s="120">
        <f t="shared" si="981"/>
        <v>634778.91312214651</v>
      </c>
      <c r="AV155" s="120">
        <f t="shared" si="981"/>
        <v>654327.23138458934</v>
      </c>
      <c r="AW155" s="120">
        <f t="shared" si="981"/>
        <v>673952.01601228118</v>
      </c>
      <c r="AX155" s="120">
        <f t="shared" si="981"/>
        <v>693654.79633252684</v>
      </c>
      <c r="AY155" s="120">
        <f t="shared" si="981"/>
        <v>713437.13225917739</v>
      </c>
      <c r="AZ155" s="120">
        <f t="shared" si="981"/>
        <v>733300.61490436085</v>
      </c>
      <c r="BA155" s="120">
        <f t="shared" si="981"/>
        <v>753246.86720244808</v>
      </c>
      <c r="BB155" s="120">
        <f t="shared" si="981"/>
        <v>773027.54454649705</v>
      </c>
      <c r="BC155" s="120">
        <f t="shared" si="981"/>
        <v>793144.33543742704</v>
      </c>
      <c r="BD155" s="120">
        <f t="shared" si="981"/>
        <v>813348.96214617556</v>
      </c>
      <c r="BE155" s="120">
        <f t="shared" si="981"/>
        <v>833643.1813890991</v>
      </c>
      <c r="BF155" s="120">
        <f t="shared" si="981"/>
        <v>854028.78501688107</v>
      </c>
      <c r="BG155" s="120">
        <f t="shared" si="981"/>
        <v>874507.60071721871</v>
      </c>
      <c r="BH155" s="120">
        <f t="shared" si="981"/>
        <v>895081.49273156305</v>
      </c>
      <c r="BI155" s="120">
        <f t="shared" si="981"/>
        <v>915752.3625861943</v>
      </c>
      <c r="BJ155" s="120">
        <f t="shared" si="981"/>
        <v>936522.14983791823</v>
      </c>
    </row>
    <row r="156" spans="1:62" x14ac:dyDescent="0.25">
      <c r="A156" s="2" t="s">
        <v>251</v>
      </c>
      <c r="C156" s="132">
        <f>C155/C153</f>
        <v>-1.6214285714285714</v>
      </c>
      <c r="D156" s="132">
        <f t="shared" ref="D156:N156" si="982">D155/D153</f>
        <v>-0.37137362637362642</v>
      </c>
      <c r="E156" s="132">
        <f t="shared" si="982"/>
        <v>8.5750915750915715E-2</v>
      </c>
      <c r="F156" s="132">
        <f t="shared" si="982"/>
        <v>-1.5032967032966953E-2</v>
      </c>
      <c r="G156" s="132">
        <f t="shared" si="982"/>
        <v>0.25872841444270023</v>
      </c>
      <c r="H156" s="132">
        <f t="shared" si="982"/>
        <v>0.42345543345543352</v>
      </c>
      <c r="I156" s="132">
        <f t="shared" si="982"/>
        <v>0.52828171828171833</v>
      </c>
      <c r="J156" s="132">
        <f t="shared" si="982"/>
        <v>0.42586813186813188</v>
      </c>
      <c r="K156" s="132">
        <f t="shared" si="982"/>
        <v>0.4403169437566325</v>
      </c>
      <c r="L156" s="132">
        <f t="shared" si="982"/>
        <v>0.31421434671221177</v>
      </c>
      <c r="M156" s="132">
        <f t="shared" si="982"/>
        <v>0.24998198198198202</v>
      </c>
      <c r="N156" s="132">
        <f t="shared" si="982"/>
        <v>0.31376055890758975</v>
      </c>
      <c r="O156" s="132">
        <f t="shared" ref="O156:BJ156" si="983">O155/O153</f>
        <v>0.43656611951596347</v>
      </c>
      <c r="P156" s="132">
        <f t="shared" si="983"/>
        <v>0.52416431231466643</v>
      </c>
      <c r="Q156" s="132">
        <f t="shared" si="983"/>
        <v>0.58831593887548528</v>
      </c>
      <c r="R156" s="132">
        <f t="shared" si="983"/>
        <v>0.63732508270969512</v>
      </c>
      <c r="S156" s="132">
        <f t="shared" si="983"/>
        <v>0.67598849632776048</v>
      </c>
      <c r="T156" s="132">
        <f t="shared" si="983"/>
        <v>0.70727045743735861</v>
      </c>
      <c r="U156" s="132">
        <f t="shared" si="983"/>
        <v>0.7331015431108141</v>
      </c>
      <c r="V156" s="132">
        <f t="shared" si="983"/>
        <v>0.75479308670592482</v>
      </c>
      <c r="W156" s="132">
        <f t="shared" si="983"/>
        <v>0.77326702890982224</v>
      </c>
      <c r="X156" s="132">
        <f t="shared" si="983"/>
        <v>0.78822054732654045</v>
      </c>
      <c r="Y156" s="132">
        <f t="shared" si="983"/>
        <v>0.80215189308088708</v>
      </c>
      <c r="Z156" s="132">
        <f t="shared" si="983"/>
        <v>0.81439410266712575</v>
      </c>
      <c r="AA156" s="132">
        <f t="shared" si="983"/>
        <v>0.82523725496863143</v>
      </c>
      <c r="AB156" s="132">
        <f t="shared" si="983"/>
        <v>0.83490860920463483</v>
      </c>
      <c r="AC156" s="132">
        <f t="shared" si="983"/>
        <v>0.84358873690172653</v>
      </c>
      <c r="AD156" s="132">
        <f t="shared" si="983"/>
        <v>0.85142292551844867</v>
      </c>
      <c r="AE156" s="132">
        <f t="shared" si="983"/>
        <v>0.85852939529681049</v>
      </c>
      <c r="AF156" s="132">
        <f t="shared" si="983"/>
        <v>0.86500532208090175</v>
      </c>
      <c r="AG156" s="132">
        <f t="shared" si="983"/>
        <v>0.87093132046453436</v>
      </c>
      <c r="AH156" s="132">
        <f t="shared" si="983"/>
        <v>0.87637482770343655</v>
      </c>
      <c r="AI156" s="132">
        <f t="shared" si="983"/>
        <v>0.88139269049187641</v>
      </c>
      <c r="AJ156" s="132">
        <f t="shared" si="983"/>
        <v>0.88603316540213761</v>
      </c>
      <c r="AK156" s="132">
        <f t="shared" si="983"/>
        <v>0.89033748239634281</v>
      </c>
      <c r="AL156" s="132">
        <f t="shared" si="983"/>
        <v>0.89434107883721425</v>
      </c>
      <c r="AM156" s="132">
        <f t="shared" si="983"/>
        <v>0.8980745822626135</v>
      </c>
      <c r="AN156" s="132">
        <f t="shared" si="983"/>
        <v>0.90156459964037072</v>
      </c>
      <c r="AO156" s="132">
        <f t="shared" si="983"/>
        <v>0.90483435614803476</v>
      </c>
      <c r="AP156" s="132">
        <f t="shared" si="983"/>
        <v>0.90790421591695858</v>
      </c>
      <c r="AQ156" s="132">
        <f t="shared" si="983"/>
        <v>0.91079210942659572</v>
      </c>
      <c r="AR156" s="132">
        <f t="shared" si="983"/>
        <v>0.91351388650572585</v>
      </c>
      <c r="AS156" s="132">
        <f t="shared" si="983"/>
        <v>0.91608360962184809</v>
      </c>
      <c r="AT156" s="132">
        <f t="shared" si="983"/>
        <v>0.91851379891957197</v>
      </c>
      <c r="AU156" s="132">
        <f t="shared" si="983"/>
        <v>0.92081563802193989</v>
      </c>
      <c r="AV156" s="132">
        <f t="shared" si="983"/>
        <v>0.9229991477341547</v>
      </c>
      <c r="AW156" s="132">
        <f t="shared" si="983"/>
        <v>0.92507333334213659</v>
      </c>
      <c r="AX156" s="132">
        <f t="shared" si="983"/>
        <v>0.92704631007308635</v>
      </c>
      <c r="AY156" s="132">
        <f t="shared" si="983"/>
        <v>0.92892541040418886</v>
      </c>
      <c r="AZ156" s="132">
        <f t="shared" si="983"/>
        <v>0.93071727621124478</v>
      </c>
      <c r="BA156" s="132">
        <f t="shared" si="983"/>
        <v>0.93242793819843628</v>
      </c>
      <c r="BB156" s="132">
        <f t="shared" si="983"/>
        <v>0.93376090284185365</v>
      </c>
      <c r="BC156" s="132">
        <f t="shared" si="983"/>
        <v>0.93533230307278803</v>
      </c>
      <c r="BD156" s="132">
        <f t="shared" si="983"/>
        <v>0.93683726483616292</v>
      </c>
      <c r="BE156" s="132">
        <f t="shared" si="983"/>
        <v>0.93827999639309367</v>
      </c>
      <c r="BF156" s="132">
        <f t="shared" si="983"/>
        <v>0.93966435869408216</v>
      </c>
      <c r="BG156" s="132">
        <f t="shared" si="983"/>
        <v>0.94099390047816522</v>
      </c>
      <c r="BH156" s="132">
        <f t="shared" si="983"/>
        <v>0.94227188919934379</v>
      </c>
      <c r="BI156" s="132">
        <f t="shared" si="983"/>
        <v>0.94350133834778127</v>
      </c>
      <c r="BJ156" s="132">
        <f t="shared" si="983"/>
        <v>0.94468503164673923</v>
      </c>
    </row>
    <row r="158" spans="1:62" outlineLevel="1" x14ac:dyDescent="0.25">
      <c r="A158" s="17" t="s">
        <v>409</v>
      </c>
      <c r="B158" s="232">
        <f>COUNTIF(C155:Y155,"&lt;=0")</f>
        <v>3</v>
      </c>
    </row>
  </sheetData>
  <dataConsolidate/>
  <mergeCells count="5">
    <mergeCell ref="E3:F3"/>
    <mergeCell ref="E7:F7"/>
    <mergeCell ref="E16:H16"/>
    <mergeCell ref="A7:B7"/>
    <mergeCell ref="A11:B11"/>
  </mergeCells>
  <conditionalFormatting sqref="C130:BJ14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56:BJ15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0:R141">
    <cfRule type="cellIs" dxfId="31" priority="3" operator="equal">
      <formula>0</formula>
    </cfRule>
  </conditionalFormatting>
  <conditionalFormatting sqref="B158">
    <cfRule type="colorScale" priority="1">
      <colorScale>
        <cfvo type="min"/>
        <cfvo type="max"/>
        <color rgb="FF63BE7B"/>
        <color rgb="FFFFEF9C"/>
      </colorScale>
    </cfRule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CABD1-BDB7-5F48-AB95-DB6FF0E2993D}">
  <sheetPr>
    <tabColor theme="6"/>
  </sheetPr>
  <dimension ref="A1:BI92"/>
  <sheetViews>
    <sheetView showGridLines="0" zoomScale="139" zoomScaleNormal="90" workbookViewId="0">
      <selection activeCell="B14" sqref="B14"/>
    </sheetView>
  </sheetViews>
  <sheetFormatPr baseColWidth="10" defaultColWidth="9.1640625" defaultRowHeight="16" outlineLevelRow="1" x14ac:dyDescent="0.25"/>
  <cols>
    <col min="1" max="1" width="36.33203125" style="1" customWidth="1"/>
    <col min="2" max="7" width="10.33203125" style="1" customWidth="1"/>
    <col min="8" max="8" width="10.83203125" style="1" customWidth="1"/>
    <col min="9" max="9" width="10.6640625" style="1" customWidth="1"/>
    <col min="10" max="14" width="10.33203125" style="1" customWidth="1"/>
    <col min="15" max="15" width="11.5" style="1" bestFit="1" customWidth="1"/>
    <col min="16" max="16" width="10.1640625" style="1" bestFit="1" customWidth="1"/>
    <col min="17" max="19" width="9.1640625" style="1"/>
    <col min="20" max="61" width="10.1640625" style="1" bestFit="1" customWidth="1"/>
    <col min="62" max="16384" width="9.1640625" style="1"/>
  </cols>
  <sheetData>
    <row r="1" spans="1:14" s="4" customFormat="1" x14ac:dyDescent="0.25">
      <c r="A1" s="25" t="s">
        <v>645</v>
      </c>
    </row>
    <row r="2" spans="1:14" x14ac:dyDescent="0.25">
      <c r="A2" s="30" t="s">
        <v>481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4" ht="36" customHeight="1" x14ac:dyDescent="0.25">
      <c r="A3" s="2" t="s">
        <v>576</v>
      </c>
      <c r="B3" s="2"/>
      <c r="C3" s="2"/>
      <c r="D3" s="2"/>
      <c r="E3" s="2" t="s">
        <v>594</v>
      </c>
      <c r="F3" s="531"/>
      <c r="G3" s="2"/>
      <c r="H3" s="2"/>
      <c r="I3" s="2"/>
      <c r="J3" s="2"/>
      <c r="K3" s="2"/>
      <c r="L3" s="2"/>
      <c r="M3" s="2"/>
      <c r="N3" s="2"/>
    </row>
    <row r="4" spans="1:14" x14ac:dyDescent="0.25">
      <c r="A4" s="1" t="s">
        <v>571</v>
      </c>
      <c r="B4" s="110">
        <v>0.04</v>
      </c>
      <c r="C4" s="1" t="s">
        <v>573</v>
      </c>
      <c r="D4" s="2"/>
      <c r="E4" s="1" t="s">
        <v>586</v>
      </c>
      <c r="F4" s="110"/>
      <c r="H4" s="110"/>
      <c r="I4" s="110"/>
      <c r="J4" s="110"/>
      <c r="K4" s="110"/>
      <c r="L4" s="2"/>
      <c r="M4" s="2"/>
      <c r="N4" s="2"/>
    </row>
    <row r="5" spans="1:14" x14ac:dyDescent="0.25">
      <c r="A5" s="1" t="s">
        <v>572</v>
      </c>
      <c r="B5" s="110">
        <v>0.02</v>
      </c>
      <c r="C5" s="1" t="s">
        <v>573</v>
      </c>
      <c r="E5" s="1" t="s">
        <v>214</v>
      </c>
      <c r="I5" s="110">
        <v>0.05</v>
      </c>
      <c r="K5" s="110"/>
    </row>
    <row r="6" spans="1:14" ht="17" x14ac:dyDescent="0.25">
      <c r="A6" s="1" t="s">
        <v>574</v>
      </c>
      <c r="B6" s="110">
        <v>0.7</v>
      </c>
      <c r="E6" s="108" t="s">
        <v>213</v>
      </c>
      <c r="I6" s="110">
        <v>0.1</v>
      </c>
      <c r="K6" s="110"/>
    </row>
    <row r="7" spans="1:14" ht="17" customHeight="1" x14ac:dyDescent="0.25">
      <c r="A7" s="1" t="s">
        <v>580</v>
      </c>
      <c r="B7" s="109">
        <v>1500</v>
      </c>
      <c r="C7" s="1" t="s">
        <v>575</v>
      </c>
      <c r="E7" s="127" t="s">
        <v>595</v>
      </c>
      <c r="F7" s="127"/>
      <c r="G7" s="127"/>
      <c r="I7" s="112">
        <v>2</v>
      </c>
      <c r="J7" s="1" t="s">
        <v>596</v>
      </c>
      <c r="K7" s="532">
        <f>I7/12</f>
        <v>0.16666666666666666</v>
      </c>
      <c r="L7" s="1" t="s">
        <v>257</v>
      </c>
    </row>
    <row r="8" spans="1:14" ht="17" customHeight="1" x14ac:dyDescent="0.25">
      <c r="A8" s="1" t="s">
        <v>581</v>
      </c>
      <c r="B8" s="109">
        <v>500</v>
      </c>
      <c r="C8" s="1" t="s">
        <v>575</v>
      </c>
      <c r="E8" s="580" t="s">
        <v>588</v>
      </c>
      <c r="F8" s="580"/>
      <c r="G8" s="580"/>
      <c r="H8" s="580"/>
      <c r="I8" s="109">
        <v>20000</v>
      </c>
    </row>
    <row r="9" spans="1:14" ht="16" customHeight="1" x14ac:dyDescent="0.25">
      <c r="A9" s="578"/>
      <c r="B9" s="578"/>
      <c r="E9" s="1" t="s">
        <v>592</v>
      </c>
      <c r="I9" s="109">
        <f>I8*J9</f>
        <v>10000</v>
      </c>
      <c r="J9" s="289">
        <v>0.5</v>
      </c>
      <c r="K9" s="2"/>
    </row>
    <row r="10" spans="1:14" x14ac:dyDescent="0.25">
      <c r="A10" s="2" t="s">
        <v>585</v>
      </c>
      <c r="B10" s="107"/>
      <c r="G10" s="110"/>
      <c r="H10" s="110"/>
      <c r="I10" s="110"/>
      <c r="J10" s="110"/>
      <c r="K10" s="110"/>
    </row>
    <row r="11" spans="1:14" x14ac:dyDescent="0.25">
      <c r="A11" s="1" t="s">
        <v>586</v>
      </c>
      <c r="B11" s="110"/>
      <c r="E11" s="2" t="s">
        <v>597</v>
      </c>
      <c r="G11" s="110"/>
      <c r="H11" s="110"/>
      <c r="I11" s="110"/>
      <c r="J11" s="110"/>
      <c r="K11" s="110"/>
    </row>
    <row r="12" spans="1:14" x14ac:dyDescent="0.25">
      <c r="A12" s="1" t="s">
        <v>214</v>
      </c>
      <c r="B12" s="110">
        <v>7.0000000000000007E-2</v>
      </c>
      <c r="E12" s="2" t="s">
        <v>598</v>
      </c>
      <c r="G12" s="110"/>
      <c r="H12" s="110"/>
      <c r="I12" s="112">
        <f>B14</f>
        <v>2</v>
      </c>
      <c r="J12" s="1" t="s">
        <v>599</v>
      </c>
      <c r="K12" s="110"/>
    </row>
    <row r="13" spans="1:14" ht="16" customHeight="1" x14ac:dyDescent="0.25">
      <c r="A13" s="108" t="s">
        <v>213</v>
      </c>
      <c r="B13" s="110">
        <v>0.05</v>
      </c>
      <c r="E13" s="1" t="s">
        <v>601</v>
      </c>
      <c r="G13" s="110"/>
      <c r="H13" s="110"/>
      <c r="I13" s="110">
        <v>0.5</v>
      </c>
      <c r="K13" s="110"/>
    </row>
    <row r="14" spans="1:14" ht="16" customHeight="1" x14ac:dyDescent="0.25">
      <c r="A14" s="108" t="s">
        <v>587</v>
      </c>
      <c r="B14" s="112">
        <v>2</v>
      </c>
      <c r="C14" s="1" t="s">
        <v>599</v>
      </c>
      <c r="E14" s="1" t="s">
        <v>602</v>
      </c>
      <c r="G14" s="110"/>
      <c r="H14" s="110"/>
      <c r="I14" s="109">
        <v>10</v>
      </c>
      <c r="J14" s="110"/>
      <c r="K14" s="110"/>
    </row>
    <row r="15" spans="1:14" ht="16" customHeight="1" x14ac:dyDescent="0.25">
      <c r="A15" s="108" t="s">
        <v>588</v>
      </c>
      <c r="B15" s="109">
        <v>400</v>
      </c>
      <c r="E15" s="1" t="s">
        <v>606</v>
      </c>
      <c r="I15" s="112">
        <v>70</v>
      </c>
      <c r="J15" s="110"/>
      <c r="K15" s="110"/>
    </row>
    <row r="16" spans="1:14" x14ac:dyDescent="0.25">
      <c r="A16" s="1" t="s">
        <v>592</v>
      </c>
      <c r="B16" s="109">
        <f>B15*C16</f>
        <v>80</v>
      </c>
      <c r="C16" s="289">
        <v>0.2</v>
      </c>
      <c r="E16" s="2" t="s">
        <v>600</v>
      </c>
      <c r="G16" s="110"/>
      <c r="H16" s="110"/>
      <c r="I16" s="111">
        <f>K7</f>
        <v>0.16666666666666666</v>
      </c>
      <c r="J16" s="110"/>
      <c r="K16" s="110"/>
    </row>
    <row r="17" spans="1:61" x14ac:dyDescent="0.25">
      <c r="B17" s="109"/>
      <c r="E17" s="1" t="s">
        <v>603</v>
      </c>
      <c r="H17" s="109"/>
      <c r="I17" s="110">
        <v>0.7</v>
      </c>
      <c r="J17" s="110"/>
      <c r="K17" s="110"/>
    </row>
    <row r="18" spans="1:61" x14ac:dyDescent="0.25">
      <c r="B18" s="109"/>
      <c r="E18" s="1" t="s">
        <v>604</v>
      </c>
      <c r="G18" s="110"/>
      <c r="H18" s="110"/>
      <c r="I18" s="109">
        <v>20</v>
      </c>
      <c r="J18" s="110"/>
      <c r="K18" s="110"/>
    </row>
    <row r="19" spans="1:61" x14ac:dyDescent="0.25">
      <c r="B19" s="109"/>
      <c r="E19" s="1" t="s">
        <v>605</v>
      </c>
      <c r="G19" s="110"/>
      <c r="H19" s="110"/>
      <c r="I19" s="109">
        <v>15</v>
      </c>
      <c r="K19" s="110"/>
    </row>
    <row r="20" spans="1:61" x14ac:dyDescent="0.25">
      <c r="B20" s="109"/>
      <c r="E20" s="1" t="s">
        <v>608</v>
      </c>
      <c r="I20" s="112">
        <v>200</v>
      </c>
      <c r="J20" s="110"/>
      <c r="K20" s="110"/>
    </row>
    <row r="21" spans="1:61" x14ac:dyDescent="0.25">
      <c r="B21" s="109"/>
      <c r="E21" s="1" t="s">
        <v>607</v>
      </c>
      <c r="I21" s="112">
        <v>150</v>
      </c>
      <c r="J21" s="110"/>
      <c r="K21" s="110"/>
    </row>
    <row r="23" spans="1:61" s="26" customFormat="1" ht="20" customHeight="1" x14ac:dyDescent="0.25">
      <c r="A23" s="26" t="str">
        <f>A3</f>
        <v>Cashprizes commission revenues</v>
      </c>
      <c r="B23" s="26">
        <f>'White label websites (WLW)'!C26</f>
        <v>43831</v>
      </c>
      <c r="C23" s="26">
        <f>'White label websites (WLW)'!D26</f>
        <v>43862</v>
      </c>
      <c r="D23" s="26">
        <f>'White label websites (WLW)'!E26</f>
        <v>43891</v>
      </c>
      <c r="E23" s="26">
        <f>'White label websites (WLW)'!F26</f>
        <v>43922</v>
      </c>
      <c r="F23" s="26">
        <f>'White label websites (WLW)'!G26</f>
        <v>43952</v>
      </c>
      <c r="G23" s="26">
        <f>'White label websites (WLW)'!H26</f>
        <v>43983</v>
      </c>
      <c r="H23" s="26">
        <f>'White label websites (WLW)'!I26</f>
        <v>44013</v>
      </c>
      <c r="I23" s="26">
        <f>'White label websites (WLW)'!J26</f>
        <v>44044</v>
      </c>
      <c r="J23" s="26">
        <f>'White label websites (WLW)'!K26</f>
        <v>44075</v>
      </c>
      <c r="K23" s="26">
        <f>'White label websites (WLW)'!L26</f>
        <v>44105</v>
      </c>
      <c r="L23" s="26">
        <f>'White label websites (WLW)'!M26</f>
        <v>44136</v>
      </c>
      <c r="M23" s="26">
        <f>'White label websites (WLW)'!N26</f>
        <v>44166</v>
      </c>
      <c r="N23" s="26">
        <f>M23+31</f>
        <v>44197</v>
      </c>
      <c r="O23" s="26">
        <f t="shared" ref="O23:BI23" si="0">N23+31</f>
        <v>44228</v>
      </c>
      <c r="P23" s="26">
        <f t="shared" si="0"/>
        <v>44259</v>
      </c>
      <c r="Q23" s="26">
        <f t="shared" si="0"/>
        <v>44290</v>
      </c>
      <c r="R23" s="26">
        <f t="shared" si="0"/>
        <v>44321</v>
      </c>
      <c r="S23" s="26">
        <f t="shared" si="0"/>
        <v>44352</v>
      </c>
      <c r="T23" s="26">
        <f t="shared" si="0"/>
        <v>44383</v>
      </c>
      <c r="U23" s="26">
        <f t="shared" si="0"/>
        <v>44414</v>
      </c>
      <c r="V23" s="26">
        <f t="shared" si="0"/>
        <v>44445</v>
      </c>
      <c r="W23" s="26">
        <f t="shared" si="0"/>
        <v>44476</v>
      </c>
      <c r="X23" s="26">
        <f t="shared" si="0"/>
        <v>44507</v>
      </c>
      <c r="Y23" s="26">
        <f t="shared" si="0"/>
        <v>44538</v>
      </c>
      <c r="Z23" s="26">
        <f t="shared" si="0"/>
        <v>44569</v>
      </c>
      <c r="AA23" s="26">
        <f t="shared" si="0"/>
        <v>44600</v>
      </c>
      <c r="AB23" s="26">
        <f t="shared" si="0"/>
        <v>44631</v>
      </c>
      <c r="AC23" s="26">
        <f t="shared" si="0"/>
        <v>44662</v>
      </c>
      <c r="AD23" s="26">
        <f t="shared" si="0"/>
        <v>44693</v>
      </c>
      <c r="AE23" s="26">
        <f t="shared" si="0"/>
        <v>44724</v>
      </c>
      <c r="AF23" s="26">
        <f t="shared" si="0"/>
        <v>44755</v>
      </c>
      <c r="AG23" s="26">
        <f t="shared" si="0"/>
        <v>44786</v>
      </c>
      <c r="AH23" s="26">
        <f t="shared" si="0"/>
        <v>44817</v>
      </c>
      <c r="AI23" s="26">
        <f t="shared" si="0"/>
        <v>44848</v>
      </c>
      <c r="AJ23" s="26">
        <f t="shared" si="0"/>
        <v>44879</v>
      </c>
      <c r="AK23" s="26">
        <f t="shared" si="0"/>
        <v>44910</v>
      </c>
      <c r="AL23" s="26">
        <f t="shared" si="0"/>
        <v>44941</v>
      </c>
      <c r="AM23" s="26">
        <f t="shared" si="0"/>
        <v>44972</v>
      </c>
      <c r="AN23" s="26">
        <f t="shared" si="0"/>
        <v>45003</v>
      </c>
      <c r="AO23" s="26">
        <f t="shared" si="0"/>
        <v>45034</v>
      </c>
      <c r="AP23" s="26">
        <f t="shared" si="0"/>
        <v>45065</v>
      </c>
      <c r="AQ23" s="26">
        <f t="shared" si="0"/>
        <v>45096</v>
      </c>
      <c r="AR23" s="26">
        <f t="shared" si="0"/>
        <v>45127</v>
      </c>
      <c r="AS23" s="26">
        <f t="shared" si="0"/>
        <v>45158</v>
      </c>
      <c r="AT23" s="26">
        <f t="shared" si="0"/>
        <v>45189</v>
      </c>
      <c r="AU23" s="26">
        <f t="shared" si="0"/>
        <v>45220</v>
      </c>
      <c r="AV23" s="26">
        <f t="shared" si="0"/>
        <v>45251</v>
      </c>
      <c r="AW23" s="26">
        <f t="shared" si="0"/>
        <v>45282</v>
      </c>
      <c r="AX23" s="26">
        <f t="shared" si="0"/>
        <v>45313</v>
      </c>
      <c r="AY23" s="26">
        <f t="shared" si="0"/>
        <v>45344</v>
      </c>
      <c r="AZ23" s="26">
        <f t="shared" si="0"/>
        <v>45375</v>
      </c>
      <c r="BA23" s="26">
        <f t="shared" si="0"/>
        <v>45406</v>
      </c>
      <c r="BB23" s="26">
        <f>BA23+31</f>
        <v>45437</v>
      </c>
      <c r="BC23" s="26">
        <f t="shared" si="0"/>
        <v>45468</v>
      </c>
      <c r="BD23" s="26">
        <f t="shared" si="0"/>
        <v>45499</v>
      </c>
      <c r="BE23" s="26">
        <f t="shared" si="0"/>
        <v>45530</v>
      </c>
      <c r="BF23" s="26">
        <f>BE23+31</f>
        <v>45561</v>
      </c>
      <c r="BG23" s="26">
        <f t="shared" si="0"/>
        <v>45592</v>
      </c>
      <c r="BH23" s="26">
        <f t="shared" si="0"/>
        <v>45623</v>
      </c>
      <c r="BI23" s="26">
        <f t="shared" si="0"/>
        <v>45654</v>
      </c>
    </row>
    <row r="24" spans="1:61" outlineLevel="1" x14ac:dyDescent="0.25">
      <c r="A24" s="542" t="s">
        <v>579</v>
      </c>
      <c r="B24" s="117">
        <f>'White label websites (WLW)'!C70</f>
        <v>1</v>
      </c>
      <c r="C24" s="117">
        <f>'White label websites (WLW)'!D70</f>
        <v>2</v>
      </c>
      <c r="D24" s="117">
        <f>'White label websites (WLW)'!E70</f>
        <v>3</v>
      </c>
      <c r="E24" s="117">
        <f>'White label websites (WLW)'!F70</f>
        <v>4</v>
      </c>
      <c r="F24" s="117">
        <f>'White label websites (WLW)'!G70</f>
        <v>5</v>
      </c>
      <c r="G24" s="117">
        <f>'White label websites (WLW)'!H70</f>
        <v>6</v>
      </c>
      <c r="H24" s="117">
        <f>'White label websites (WLW)'!I70</f>
        <v>7</v>
      </c>
      <c r="I24" s="117">
        <f>'White label websites (WLW)'!J70</f>
        <v>10</v>
      </c>
      <c r="J24" s="117">
        <f>'White label websites (WLW)'!K70</f>
        <v>14</v>
      </c>
      <c r="K24" s="117">
        <f>'White label websites (WLW)'!L70</f>
        <v>20</v>
      </c>
      <c r="L24" s="117">
        <f>'White label websites (WLW)'!M70</f>
        <v>28</v>
      </c>
      <c r="M24" s="117">
        <f>'White label websites (WLW)'!N70</f>
        <v>38</v>
      </c>
      <c r="N24" s="117">
        <f>'White label websites (WLW)'!O70</f>
        <v>48</v>
      </c>
      <c r="O24" s="117">
        <f>'White label websites (WLW)'!P70</f>
        <v>58</v>
      </c>
      <c r="P24" s="117">
        <f>'White label websites (WLW)'!Q70</f>
        <v>68</v>
      </c>
      <c r="Q24" s="117">
        <f>'White label websites (WLW)'!R70</f>
        <v>78</v>
      </c>
      <c r="R24" s="117">
        <f>'White label websites (WLW)'!S70</f>
        <v>88</v>
      </c>
      <c r="S24" s="117">
        <f>'White label websites (WLW)'!T70</f>
        <v>98</v>
      </c>
      <c r="T24" s="117">
        <f>'White label websites (WLW)'!U70</f>
        <v>108</v>
      </c>
      <c r="U24" s="117">
        <f>'White label websites (WLW)'!V70</f>
        <v>118</v>
      </c>
      <c r="V24" s="117">
        <f>'White label websites (WLW)'!W70</f>
        <v>128</v>
      </c>
      <c r="W24" s="117">
        <f>'White label websites (WLW)'!X70</f>
        <v>139</v>
      </c>
      <c r="X24" s="117">
        <f>'White label websites (WLW)'!Y70</f>
        <v>150</v>
      </c>
      <c r="Y24" s="117">
        <f>'White label websites (WLW)'!Z70</f>
        <v>161</v>
      </c>
      <c r="Z24" s="117">
        <f>'White label websites (WLW)'!AA70</f>
        <v>172</v>
      </c>
      <c r="AA24" s="117">
        <f>'White label websites (WLW)'!AB70</f>
        <v>183</v>
      </c>
      <c r="AB24" s="117">
        <f>'White label websites (WLW)'!AC70</f>
        <v>194</v>
      </c>
      <c r="AC24" s="117">
        <f>'White label websites (WLW)'!AD70</f>
        <v>205</v>
      </c>
      <c r="AD24" s="117">
        <f>'White label websites (WLW)'!AE70</f>
        <v>216</v>
      </c>
      <c r="AE24" s="117">
        <f>'White label websites (WLW)'!AF70</f>
        <v>227</v>
      </c>
      <c r="AF24" s="117">
        <f>'White label websites (WLW)'!AG70</f>
        <v>238</v>
      </c>
      <c r="AG24" s="117">
        <f>'White label websites (WLW)'!AH70</f>
        <v>249</v>
      </c>
      <c r="AH24" s="117">
        <f>'White label websites (WLW)'!AI70</f>
        <v>260</v>
      </c>
      <c r="AI24" s="117">
        <f>'White label websites (WLW)'!AJ70</f>
        <v>271</v>
      </c>
      <c r="AJ24" s="117">
        <f>'White label websites (WLW)'!AK70</f>
        <v>282</v>
      </c>
      <c r="AK24" s="117">
        <f>'White label websites (WLW)'!AL70</f>
        <v>293</v>
      </c>
      <c r="AL24" s="117">
        <f>'White label websites (WLW)'!AM70</f>
        <v>304</v>
      </c>
      <c r="AM24" s="117">
        <f>'White label websites (WLW)'!AN70</f>
        <v>315</v>
      </c>
      <c r="AN24" s="117">
        <f>'White label websites (WLW)'!AO70</f>
        <v>326</v>
      </c>
      <c r="AO24" s="117">
        <f>'White label websites (WLW)'!AP70</f>
        <v>337</v>
      </c>
      <c r="AP24" s="117">
        <f>'White label websites (WLW)'!AQ70</f>
        <v>348</v>
      </c>
      <c r="AQ24" s="117">
        <f>'White label websites (WLW)'!AR70</f>
        <v>359</v>
      </c>
      <c r="AR24" s="117">
        <f>'White label websites (WLW)'!AS70</f>
        <v>370</v>
      </c>
      <c r="AS24" s="117">
        <f>'White label websites (WLW)'!AT70</f>
        <v>381</v>
      </c>
      <c r="AT24" s="117">
        <f>'White label websites (WLW)'!AU70</f>
        <v>392</v>
      </c>
      <c r="AU24" s="117">
        <f>'White label websites (WLW)'!AV70</f>
        <v>403</v>
      </c>
      <c r="AV24" s="117">
        <f>'White label websites (WLW)'!AW70</f>
        <v>414</v>
      </c>
      <c r="AW24" s="117">
        <f>'White label websites (WLW)'!AX70</f>
        <v>425</v>
      </c>
      <c r="AX24" s="117">
        <f>'White label websites (WLW)'!AY70</f>
        <v>436</v>
      </c>
      <c r="AY24" s="117">
        <f>'White label websites (WLW)'!AZ70</f>
        <v>447</v>
      </c>
      <c r="AZ24" s="117">
        <f>'White label websites (WLW)'!BA70</f>
        <v>458</v>
      </c>
      <c r="BA24" s="117">
        <f>'White label websites (WLW)'!BB70</f>
        <v>470</v>
      </c>
      <c r="BB24" s="117">
        <f>'White label websites (WLW)'!BC70</f>
        <v>482</v>
      </c>
      <c r="BC24" s="117">
        <f>'White label websites (WLW)'!BD70</f>
        <v>494</v>
      </c>
      <c r="BD24" s="117">
        <f>'White label websites (WLW)'!BE70</f>
        <v>506</v>
      </c>
      <c r="BE24" s="117">
        <f>'White label websites (WLW)'!BF70</f>
        <v>518</v>
      </c>
      <c r="BF24" s="117">
        <f>'White label websites (WLW)'!BG70</f>
        <v>530</v>
      </c>
      <c r="BG24" s="117">
        <f>'White label websites (WLW)'!BH70</f>
        <v>542</v>
      </c>
      <c r="BH24" s="117">
        <f>'White label websites (WLW)'!BI70</f>
        <v>554</v>
      </c>
      <c r="BI24" s="117">
        <f>'White label websites (WLW)'!BJ70</f>
        <v>566</v>
      </c>
    </row>
    <row r="25" spans="1:61" outlineLevel="1" x14ac:dyDescent="0.25">
      <c r="A25" s="542" t="s">
        <v>214</v>
      </c>
      <c r="B25" s="117">
        <f>'White label websites (WLW)'!C71</f>
        <v>0.3</v>
      </c>
      <c r="C25" s="117">
        <f>'White label websites (WLW)'!D71</f>
        <v>0.6</v>
      </c>
      <c r="D25" s="117">
        <f>'White label websites (WLW)'!E71</f>
        <v>0.89999999999999991</v>
      </c>
      <c r="E25" s="117">
        <f>'White label websites (WLW)'!F71</f>
        <v>1.2</v>
      </c>
      <c r="F25" s="117">
        <f>'White label websites (WLW)'!G71</f>
        <v>1.5</v>
      </c>
      <c r="G25" s="117">
        <f>'White label websites (WLW)'!H71</f>
        <v>1.7999999999999998</v>
      </c>
      <c r="H25" s="117">
        <f>'White label websites (WLW)'!I71</f>
        <v>2.1</v>
      </c>
      <c r="I25" s="117">
        <f>'White label websites (WLW)'!J71</f>
        <v>3</v>
      </c>
      <c r="J25" s="117">
        <f>'White label websites (WLW)'!K71</f>
        <v>4.2</v>
      </c>
      <c r="K25" s="117">
        <f>'White label websites (WLW)'!L71</f>
        <v>6</v>
      </c>
      <c r="L25" s="117">
        <f>'White label websites (WLW)'!M71</f>
        <v>8.4</v>
      </c>
      <c r="M25" s="117">
        <f>'White label websites (WLW)'!N71</f>
        <v>11.4</v>
      </c>
      <c r="N25" s="117">
        <f>'White label websites (WLW)'!O71</f>
        <v>13.391999999999999</v>
      </c>
      <c r="O25" s="117">
        <f>'White label websites (WLW)'!P71</f>
        <v>16.181999999999999</v>
      </c>
      <c r="P25" s="117">
        <f>'White label websites (WLW)'!Q71</f>
        <v>18.971999999999998</v>
      </c>
      <c r="Q25" s="117">
        <f>'White label websites (WLW)'!R71</f>
        <v>21.761999999999997</v>
      </c>
      <c r="R25" s="117">
        <f>'White label websites (WLW)'!S71</f>
        <v>24.551999999999996</v>
      </c>
      <c r="S25" s="117">
        <f>'White label websites (WLW)'!T71</f>
        <v>27.341999999999999</v>
      </c>
      <c r="T25" s="117">
        <f>'White label websites (WLW)'!U71</f>
        <v>30.131999999999998</v>
      </c>
      <c r="U25" s="117">
        <f>'White label websites (WLW)'!V71</f>
        <v>32.921999999999997</v>
      </c>
      <c r="V25" s="117">
        <f>'White label websites (WLW)'!W71</f>
        <v>35.711999999999996</v>
      </c>
      <c r="W25" s="117">
        <f>'White label websites (WLW)'!X71</f>
        <v>38.780999999999999</v>
      </c>
      <c r="X25" s="117">
        <f>'White label websites (WLW)'!Y71</f>
        <v>41.849999999999994</v>
      </c>
      <c r="Y25" s="117">
        <f>'White label websites (WLW)'!Z71</f>
        <v>44.918999999999997</v>
      </c>
      <c r="Z25" s="117">
        <f>'White label websites (WLW)'!AA71</f>
        <v>45.108719999999998</v>
      </c>
      <c r="AA25" s="117">
        <f>'White label websites (WLW)'!AB71</f>
        <v>47.993580000000001</v>
      </c>
      <c r="AB25" s="117">
        <f>'White label websites (WLW)'!AC71</f>
        <v>50.878439999999998</v>
      </c>
      <c r="AC25" s="117">
        <f>'White label websites (WLW)'!AD71</f>
        <v>53.763300000000001</v>
      </c>
      <c r="AD25" s="117">
        <f>'White label websites (WLW)'!AE71</f>
        <v>56.648159999999997</v>
      </c>
      <c r="AE25" s="117">
        <f>'White label websites (WLW)'!AF71</f>
        <v>59.53302</v>
      </c>
      <c r="AF25" s="117">
        <f>'White label websites (WLW)'!AG71</f>
        <v>62.417879999999997</v>
      </c>
      <c r="AG25" s="117">
        <f>'White label websites (WLW)'!AH71</f>
        <v>65.30274</v>
      </c>
      <c r="AH25" s="117">
        <f>'White label websites (WLW)'!AI71</f>
        <v>68.187600000000003</v>
      </c>
      <c r="AI25" s="117">
        <f>'White label websites (WLW)'!AJ71</f>
        <v>71.072459999999992</v>
      </c>
      <c r="AJ25" s="117">
        <f>'White label websites (WLW)'!AK71</f>
        <v>73.957319999999996</v>
      </c>
      <c r="AK25" s="117">
        <f>'White label websites (WLW)'!AL71</f>
        <v>76.842179999999999</v>
      </c>
      <c r="AL25" s="117">
        <f>'White label websites (WLW)'!AM71</f>
        <v>76.537958399999994</v>
      </c>
      <c r="AM25" s="117">
        <f>'White label websites (WLW)'!AN71</f>
        <v>79.307423999999997</v>
      </c>
      <c r="AN25" s="117">
        <f>'White label websites (WLW)'!AO71</f>
        <v>82.076889600000001</v>
      </c>
      <c r="AO25" s="117">
        <f>'White label websites (WLW)'!AP71</f>
        <v>84.846355199999991</v>
      </c>
      <c r="AP25" s="117">
        <f>'White label websites (WLW)'!AQ71</f>
        <v>87.615820799999995</v>
      </c>
      <c r="AQ25" s="117">
        <f>'White label websites (WLW)'!AR71</f>
        <v>90.385286399999998</v>
      </c>
      <c r="AR25" s="117">
        <f>'White label websites (WLW)'!AS71</f>
        <v>93.154751999999988</v>
      </c>
      <c r="AS25" s="117">
        <f>'White label websites (WLW)'!AT71</f>
        <v>95.924217599999992</v>
      </c>
      <c r="AT25" s="117">
        <f>'White label websites (WLW)'!AU71</f>
        <v>98.693683199999995</v>
      </c>
      <c r="AU25" s="117">
        <f>'White label websites (WLW)'!AV71</f>
        <v>101.4631488</v>
      </c>
      <c r="AV25" s="117">
        <f>'White label websites (WLW)'!AW71</f>
        <v>104.23261439999999</v>
      </c>
      <c r="AW25" s="117">
        <f>'White label websites (WLW)'!AX71</f>
        <v>107.00207999999999</v>
      </c>
      <c r="AX25" s="117">
        <f>'White label websites (WLW)'!AY71</f>
        <v>106.478399232</v>
      </c>
      <c r="AY25" s="117">
        <f>'White label websites (WLW)'!AZ71</f>
        <v>109.16478086399999</v>
      </c>
      <c r="AZ25" s="117">
        <f>'White label websites (WLW)'!BA71</f>
        <v>111.851162496</v>
      </c>
      <c r="BA25" s="117">
        <f>'White label websites (WLW)'!BB71</f>
        <v>114.78176064</v>
      </c>
      <c r="BB25" s="117">
        <f>'White label websites (WLW)'!BC71</f>
        <v>117.712358784</v>
      </c>
      <c r="BC25" s="117">
        <f>'White label websites (WLW)'!BD71</f>
        <v>120.642956928</v>
      </c>
      <c r="BD25" s="117">
        <f>'White label websites (WLW)'!BE71</f>
        <v>123.573555072</v>
      </c>
      <c r="BE25" s="117">
        <f>'White label websites (WLW)'!BF71</f>
        <v>126.50415321599999</v>
      </c>
      <c r="BF25" s="117">
        <f>'White label websites (WLW)'!BG71</f>
        <v>129.43475136000001</v>
      </c>
      <c r="BG25" s="117">
        <f>'White label websites (WLW)'!BH71</f>
        <v>132.36534950399999</v>
      </c>
      <c r="BH25" s="117">
        <f>'White label websites (WLW)'!BI71</f>
        <v>135.29594764800001</v>
      </c>
      <c r="BI25" s="117">
        <f>'White label websites (WLW)'!BJ71</f>
        <v>138.226545792</v>
      </c>
    </row>
    <row r="26" spans="1:61" outlineLevel="1" x14ac:dyDescent="0.25">
      <c r="A26" s="542" t="s">
        <v>213</v>
      </c>
      <c r="B26" s="117">
        <f>'White label websites (WLW)'!C72</f>
        <v>0.7</v>
      </c>
      <c r="C26" s="117">
        <f>'White label websites (WLW)'!D72</f>
        <v>1.4</v>
      </c>
      <c r="D26" s="117">
        <f>'White label websites (WLW)'!E72</f>
        <v>2.0999999999999996</v>
      </c>
      <c r="E26" s="117">
        <f>'White label websites (WLW)'!F72</f>
        <v>2.8</v>
      </c>
      <c r="F26" s="117">
        <f>'White label websites (WLW)'!G72</f>
        <v>3.5</v>
      </c>
      <c r="G26" s="117">
        <f>'White label websites (WLW)'!H72</f>
        <v>4.1999999999999993</v>
      </c>
      <c r="H26" s="117">
        <f>'White label websites (WLW)'!I72</f>
        <v>4.8999999999999995</v>
      </c>
      <c r="I26" s="117">
        <f>'White label websites (WLW)'!J72</f>
        <v>7</v>
      </c>
      <c r="J26" s="117">
        <f>'White label websites (WLW)'!K72</f>
        <v>9.7999999999999989</v>
      </c>
      <c r="K26" s="117">
        <f>'White label websites (WLW)'!L72</f>
        <v>14</v>
      </c>
      <c r="L26" s="117">
        <f>'White label websites (WLW)'!M72</f>
        <v>19.599999999999998</v>
      </c>
      <c r="M26" s="117">
        <f>'White label websites (WLW)'!N72</f>
        <v>26.599999999999998</v>
      </c>
      <c r="N26" s="117">
        <f>'White label websites (WLW)'!O72</f>
        <v>34.607999999999997</v>
      </c>
      <c r="O26" s="117">
        <f>'White label websites (WLW)'!P72</f>
        <v>41.817999999999998</v>
      </c>
      <c r="P26" s="117">
        <f>'White label websites (WLW)'!Q72</f>
        <v>49.027999999999999</v>
      </c>
      <c r="Q26" s="117">
        <f>'White label websites (WLW)'!R72</f>
        <v>56.238</v>
      </c>
      <c r="R26" s="117">
        <f>'White label websites (WLW)'!S72</f>
        <v>63.448</v>
      </c>
      <c r="S26" s="117">
        <f>'White label websites (WLW)'!T72</f>
        <v>70.658000000000001</v>
      </c>
      <c r="T26" s="117">
        <f>'White label websites (WLW)'!U72</f>
        <v>77.867999999999995</v>
      </c>
      <c r="U26" s="117">
        <f>'White label websites (WLW)'!V72</f>
        <v>85.078000000000003</v>
      </c>
      <c r="V26" s="117">
        <f>'White label websites (WLW)'!W72</f>
        <v>92.287999999999997</v>
      </c>
      <c r="W26" s="117">
        <f>'White label websites (WLW)'!X72</f>
        <v>100.21899999999999</v>
      </c>
      <c r="X26" s="117">
        <f>'White label websites (WLW)'!Y72</f>
        <v>108.14999999999999</v>
      </c>
      <c r="Y26" s="117">
        <f>'White label websites (WLW)'!Z72</f>
        <v>116.08099999999999</v>
      </c>
      <c r="Z26" s="117">
        <f>'White label websites (WLW)'!AA72</f>
        <v>126.49224</v>
      </c>
      <c r="AA26" s="117">
        <f>'White label websites (WLW)'!AB72</f>
        <v>134.58186000000001</v>
      </c>
      <c r="AB26" s="117">
        <f>'White label websites (WLW)'!AC72</f>
        <v>142.67148</v>
      </c>
      <c r="AC26" s="117">
        <f>'White label websites (WLW)'!AD72</f>
        <v>150.7611</v>
      </c>
      <c r="AD26" s="117">
        <f>'White label websites (WLW)'!AE72</f>
        <v>158.85072</v>
      </c>
      <c r="AE26" s="117">
        <f>'White label websites (WLW)'!AF72</f>
        <v>166.94033999999999</v>
      </c>
      <c r="AF26" s="117">
        <f>'White label websites (WLW)'!AG72</f>
        <v>175.02995999999999</v>
      </c>
      <c r="AG26" s="117">
        <f>'White label websites (WLW)'!AH72</f>
        <v>183.11957999999998</v>
      </c>
      <c r="AH26" s="117">
        <f>'White label websites (WLW)'!AI72</f>
        <v>191.20919999999998</v>
      </c>
      <c r="AI26" s="117">
        <f>'White label websites (WLW)'!AJ72</f>
        <v>199.29881999999998</v>
      </c>
      <c r="AJ26" s="117">
        <f>'White label websites (WLW)'!AK72</f>
        <v>207.38844</v>
      </c>
      <c r="AK26" s="117">
        <f>'White label websites (WLW)'!AL72</f>
        <v>215.47806</v>
      </c>
      <c r="AL26" s="117">
        <f>'White label websites (WLW)'!AM72</f>
        <v>226.92119519999997</v>
      </c>
      <c r="AM26" s="117">
        <f>'White label websites (WLW)'!AN72</f>
        <v>235.13215949999997</v>
      </c>
      <c r="AN26" s="117">
        <f>'White label websites (WLW)'!AO72</f>
        <v>243.34312379999997</v>
      </c>
      <c r="AO26" s="117">
        <f>'White label websites (WLW)'!AP72</f>
        <v>251.55408809999997</v>
      </c>
      <c r="AP26" s="117">
        <f>'White label websites (WLW)'!AQ72</f>
        <v>259.7650524</v>
      </c>
      <c r="AQ26" s="117">
        <f>'White label websites (WLW)'!AR72</f>
        <v>267.9760167</v>
      </c>
      <c r="AR26" s="117">
        <f>'White label websites (WLW)'!AS72</f>
        <v>276.18698099999995</v>
      </c>
      <c r="AS26" s="117">
        <f>'White label websites (WLW)'!AT72</f>
        <v>284.39794529999995</v>
      </c>
      <c r="AT26" s="117">
        <f>'White label websites (WLW)'!AU72</f>
        <v>292.60890959999995</v>
      </c>
      <c r="AU26" s="117">
        <f>'White label websites (WLW)'!AV72</f>
        <v>300.81987389999995</v>
      </c>
      <c r="AV26" s="117">
        <f>'White label websites (WLW)'!AW72</f>
        <v>309.03083819999995</v>
      </c>
      <c r="AW26" s="117">
        <f>'White label websites (WLW)'!AX72</f>
        <v>317.24180249999995</v>
      </c>
      <c r="AX26" s="117">
        <f>'White label websites (WLW)'!AY72</f>
        <v>329.68365276839995</v>
      </c>
      <c r="AY26" s="117">
        <f>'White label websites (WLW)'!AZ72</f>
        <v>338.00135960429998</v>
      </c>
      <c r="AZ26" s="117">
        <f>'White label websites (WLW)'!BA72</f>
        <v>346.3190664402</v>
      </c>
      <c r="BA26" s="117">
        <f>'White label websites (WLW)'!BB72</f>
        <v>355.39292844299996</v>
      </c>
      <c r="BB26" s="117">
        <f>'White label websites (WLW)'!BC72</f>
        <v>364.46679044579997</v>
      </c>
      <c r="BC26" s="117">
        <f>'White label websites (WLW)'!BD72</f>
        <v>373.54065244859999</v>
      </c>
      <c r="BD26" s="117">
        <f>'White label websites (WLW)'!BE72</f>
        <v>382.6145144514</v>
      </c>
      <c r="BE26" s="117">
        <f>'White label websites (WLW)'!BF72</f>
        <v>391.68837645419995</v>
      </c>
      <c r="BF26" s="117">
        <f>'White label websites (WLW)'!BG72</f>
        <v>400.76223845699997</v>
      </c>
      <c r="BG26" s="117">
        <f>'White label websites (WLW)'!BH72</f>
        <v>409.83610045979998</v>
      </c>
      <c r="BH26" s="117">
        <f>'White label websites (WLW)'!BI72</f>
        <v>418.90996246259999</v>
      </c>
      <c r="BI26" s="117">
        <f>'White label websites (WLW)'!BJ72</f>
        <v>427.98382446539995</v>
      </c>
    </row>
    <row r="27" spans="1:61" s="2" customFormat="1" outlineLevel="1" x14ac:dyDescent="0.25">
      <c r="A27" s="17" t="s">
        <v>582</v>
      </c>
      <c r="B27" s="171">
        <f>B24*$B$6</f>
        <v>0.7</v>
      </c>
      <c r="C27" s="171">
        <f t="shared" ref="C27:BI29" si="1">C24*$B$6</f>
        <v>1.4</v>
      </c>
      <c r="D27" s="171">
        <f t="shared" si="1"/>
        <v>2.0999999999999996</v>
      </c>
      <c r="E27" s="171">
        <f t="shared" si="1"/>
        <v>2.8</v>
      </c>
      <c r="F27" s="171">
        <f t="shared" si="1"/>
        <v>3.5</v>
      </c>
      <c r="G27" s="171">
        <f t="shared" si="1"/>
        <v>4.1999999999999993</v>
      </c>
      <c r="H27" s="171">
        <f t="shared" si="1"/>
        <v>4.8999999999999995</v>
      </c>
      <c r="I27" s="171">
        <f t="shared" si="1"/>
        <v>7</v>
      </c>
      <c r="J27" s="171">
        <f t="shared" si="1"/>
        <v>9.7999999999999989</v>
      </c>
      <c r="K27" s="171">
        <f t="shared" si="1"/>
        <v>14</v>
      </c>
      <c r="L27" s="171">
        <f t="shared" si="1"/>
        <v>19.599999999999998</v>
      </c>
      <c r="M27" s="171">
        <f t="shared" si="1"/>
        <v>26.599999999999998</v>
      </c>
      <c r="N27" s="171">
        <f t="shared" si="1"/>
        <v>33.599999999999994</v>
      </c>
      <c r="O27" s="171">
        <f t="shared" si="1"/>
        <v>40.599999999999994</v>
      </c>
      <c r="P27" s="171">
        <f t="shared" si="1"/>
        <v>47.599999999999994</v>
      </c>
      <c r="Q27" s="171">
        <f t="shared" si="1"/>
        <v>54.599999999999994</v>
      </c>
      <c r="R27" s="171">
        <f t="shared" si="1"/>
        <v>61.599999999999994</v>
      </c>
      <c r="S27" s="171">
        <f t="shared" si="1"/>
        <v>68.599999999999994</v>
      </c>
      <c r="T27" s="171">
        <f t="shared" si="1"/>
        <v>75.599999999999994</v>
      </c>
      <c r="U27" s="171">
        <f t="shared" si="1"/>
        <v>82.6</v>
      </c>
      <c r="V27" s="171">
        <f t="shared" si="1"/>
        <v>89.6</v>
      </c>
      <c r="W27" s="171">
        <f t="shared" si="1"/>
        <v>97.3</v>
      </c>
      <c r="X27" s="171">
        <f t="shared" si="1"/>
        <v>105</v>
      </c>
      <c r="Y27" s="171">
        <f t="shared" si="1"/>
        <v>112.69999999999999</v>
      </c>
      <c r="Z27" s="171">
        <f t="shared" si="1"/>
        <v>120.39999999999999</v>
      </c>
      <c r="AA27" s="171">
        <f t="shared" si="1"/>
        <v>128.1</v>
      </c>
      <c r="AB27" s="171">
        <f t="shared" si="1"/>
        <v>135.79999999999998</v>
      </c>
      <c r="AC27" s="171">
        <f t="shared" si="1"/>
        <v>143.5</v>
      </c>
      <c r="AD27" s="171">
        <f t="shared" si="1"/>
        <v>151.19999999999999</v>
      </c>
      <c r="AE27" s="171">
        <f t="shared" si="1"/>
        <v>158.89999999999998</v>
      </c>
      <c r="AF27" s="171">
        <f t="shared" si="1"/>
        <v>166.6</v>
      </c>
      <c r="AG27" s="171">
        <f t="shared" si="1"/>
        <v>174.29999999999998</v>
      </c>
      <c r="AH27" s="171">
        <f t="shared" si="1"/>
        <v>182</v>
      </c>
      <c r="AI27" s="171">
        <f t="shared" si="1"/>
        <v>189.7</v>
      </c>
      <c r="AJ27" s="171">
        <f t="shared" si="1"/>
        <v>197.39999999999998</v>
      </c>
      <c r="AK27" s="171">
        <f t="shared" si="1"/>
        <v>205.1</v>
      </c>
      <c r="AL27" s="171">
        <f t="shared" si="1"/>
        <v>212.79999999999998</v>
      </c>
      <c r="AM27" s="171">
        <f t="shared" si="1"/>
        <v>220.5</v>
      </c>
      <c r="AN27" s="171">
        <f t="shared" si="1"/>
        <v>228.2</v>
      </c>
      <c r="AO27" s="171">
        <f t="shared" si="1"/>
        <v>235.89999999999998</v>
      </c>
      <c r="AP27" s="171">
        <f t="shared" si="1"/>
        <v>243.6</v>
      </c>
      <c r="AQ27" s="171">
        <f t="shared" si="1"/>
        <v>251.29999999999998</v>
      </c>
      <c r="AR27" s="171">
        <f t="shared" si="1"/>
        <v>259</v>
      </c>
      <c r="AS27" s="171">
        <f t="shared" si="1"/>
        <v>266.7</v>
      </c>
      <c r="AT27" s="171">
        <f t="shared" si="1"/>
        <v>274.39999999999998</v>
      </c>
      <c r="AU27" s="171">
        <f t="shared" si="1"/>
        <v>282.09999999999997</v>
      </c>
      <c r="AV27" s="171">
        <f t="shared" si="1"/>
        <v>289.79999999999995</v>
      </c>
      <c r="AW27" s="171">
        <f t="shared" si="1"/>
        <v>297.5</v>
      </c>
      <c r="AX27" s="171">
        <f t="shared" si="1"/>
        <v>305.2</v>
      </c>
      <c r="AY27" s="171">
        <f t="shared" si="1"/>
        <v>312.89999999999998</v>
      </c>
      <c r="AZ27" s="171">
        <f t="shared" si="1"/>
        <v>320.59999999999997</v>
      </c>
      <c r="BA27" s="171">
        <f t="shared" si="1"/>
        <v>329</v>
      </c>
      <c r="BB27" s="171">
        <f t="shared" si="1"/>
        <v>337.4</v>
      </c>
      <c r="BC27" s="171">
        <f t="shared" si="1"/>
        <v>345.79999999999995</v>
      </c>
      <c r="BD27" s="171">
        <f t="shared" si="1"/>
        <v>354.2</v>
      </c>
      <c r="BE27" s="171">
        <f t="shared" si="1"/>
        <v>362.59999999999997</v>
      </c>
      <c r="BF27" s="171">
        <f t="shared" si="1"/>
        <v>371</v>
      </c>
      <c r="BG27" s="171">
        <f t="shared" si="1"/>
        <v>379.4</v>
      </c>
      <c r="BH27" s="171">
        <f t="shared" si="1"/>
        <v>387.79999999999995</v>
      </c>
      <c r="BI27" s="171">
        <f t="shared" si="1"/>
        <v>396.2</v>
      </c>
    </row>
    <row r="28" spans="1:61" outlineLevel="1" x14ac:dyDescent="0.25">
      <c r="A28" s="542" t="s">
        <v>214</v>
      </c>
      <c r="B28" s="117">
        <f t="shared" ref="B28:Q29" si="2">B25*$B$6</f>
        <v>0.21</v>
      </c>
      <c r="C28" s="117">
        <f t="shared" si="2"/>
        <v>0.42</v>
      </c>
      <c r="D28" s="117">
        <f t="shared" si="2"/>
        <v>0.62999999999999989</v>
      </c>
      <c r="E28" s="117">
        <f t="shared" si="2"/>
        <v>0.84</v>
      </c>
      <c r="F28" s="117">
        <f t="shared" si="2"/>
        <v>1.0499999999999998</v>
      </c>
      <c r="G28" s="117">
        <f t="shared" si="2"/>
        <v>1.2599999999999998</v>
      </c>
      <c r="H28" s="117">
        <f t="shared" si="2"/>
        <v>1.47</v>
      </c>
      <c r="I28" s="117">
        <f t="shared" si="2"/>
        <v>2.0999999999999996</v>
      </c>
      <c r="J28" s="117">
        <f t="shared" si="2"/>
        <v>2.94</v>
      </c>
      <c r="K28" s="117">
        <f t="shared" si="2"/>
        <v>4.1999999999999993</v>
      </c>
      <c r="L28" s="117">
        <f t="shared" si="2"/>
        <v>5.88</v>
      </c>
      <c r="M28" s="117">
        <f t="shared" si="2"/>
        <v>7.9799999999999995</v>
      </c>
      <c r="N28" s="117">
        <f t="shared" si="2"/>
        <v>9.3743999999999996</v>
      </c>
      <c r="O28" s="117">
        <f t="shared" si="2"/>
        <v>11.327399999999999</v>
      </c>
      <c r="P28" s="117">
        <f t="shared" si="2"/>
        <v>13.280399999999998</v>
      </c>
      <c r="Q28" s="117">
        <f t="shared" si="2"/>
        <v>15.233399999999996</v>
      </c>
      <c r="R28" s="117">
        <f t="shared" si="1"/>
        <v>17.186399999999995</v>
      </c>
      <c r="S28" s="117">
        <f t="shared" si="1"/>
        <v>19.139399999999998</v>
      </c>
      <c r="T28" s="117">
        <f t="shared" si="1"/>
        <v>21.092399999999998</v>
      </c>
      <c r="U28" s="117">
        <f t="shared" si="1"/>
        <v>23.045399999999997</v>
      </c>
      <c r="V28" s="117">
        <f t="shared" si="1"/>
        <v>24.998399999999997</v>
      </c>
      <c r="W28" s="117">
        <f t="shared" si="1"/>
        <v>27.146699999999999</v>
      </c>
      <c r="X28" s="117">
        <f t="shared" si="1"/>
        <v>29.294999999999995</v>
      </c>
      <c r="Y28" s="117">
        <f t="shared" si="1"/>
        <v>31.443299999999997</v>
      </c>
      <c r="Z28" s="117">
        <f t="shared" si="1"/>
        <v>31.576103999999997</v>
      </c>
      <c r="AA28" s="117">
        <f t="shared" si="1"/>
        <v>33.595506</v>
      </c>
      <c r="AB28" s="117">
        <f t="shared" si="1"/>
        <v>35.614907999999993</v>
      </c>
      <c r="AC28" s="117">
        <f t="shared" si="1"/>
        <v>37.634309999999999</v>
      </c>
      <c r="AD28" s="117">
        <f t="shared" si="1"/>
        <v>39.653711999999999</v>
      </c>
      <c r="AE28" s="117">
        <f t="shared" si="1"/>
        <v>41.673113999999998</v>
      </c>
      <c r="AF28" s="117">
        <f t="shared" si="1"/>
        <v>43.692515999999998</v>
      </c>
      <c r="AG28" s="117">
        <f t="shared" si="1"/>
        <v>45.711917999999997</v>
      </c>
      <c r="AH28" s="117">
        <f t="shared" si="1"/>
        <v>47.731319999999997</v>
      </c>
      <c r="AI28" s="117">
        <f t="shared" si="1"/>
        <v>49.750721999999989</v>
      </c>
      <c r="AJ28" s="117">
        <f t="shared" si="1"/>
        <v>51.770123999999996</v>
      </c>
      <c r="AK28" s="117">
        <f t="shared" si="1"/>
        <v>53.789525999999995</v>
      </c>
      <c r="AL28" s="117">
        <f t="shared" si="1"/>
        <v>53.576570879999991</v>
      </c>
      <c r="AM28" s="117">
        <f t="shared" si="1"/>
        <v>55.515196799999998</v>
      </c>
      <c r="AN28" s="117">
        <f t="shared" si="1"/>
        <v>57.453822719999998</v>
      </c>
      <c r="AO28" s="117">
        <f t="shared" si="1"/>
        <v>59.392448639999991</v>
      </c>
      <c r="AP28" s="117">
        <f t="shared" si="1"/>
        <v>61.33107455999999</v>
      </c>
      <c r="AQ28" s="117">
        <f t="shared" si="1"/>
        <v>63.269700479999997</v>
      </c>
      <c r="AR28" s="117">
        <f t="shared" si="1"/>
        <v>65.20832639999999</v>
      </c>
      <c r="AS28" s="117">
        <f t="shared" si="1"/>
        <v>67.146952319999997</v>
      </c>
      <c r="AT28" s="117">
        <f t="shared" si="1"/>
        <v>69.08557823999999</v>
      </c>
      <c r="AU28" s="117">
        <f t="shared" si="1"/>
        <v>71.024204159999996</v>
      </c>
      <c r="AV28" s="117">
        <f t="shared" si="1"/>
        <v>72.962830079999989</v>
      </c>
      <c r="AW28" s="117">
        <f t="shared" si="1"/>
        <v>74.901455999999996</v>
      </c>
      <c r="AX28" s="117">
        <f t="shared" si="1"/>
        <v>74.534879462399999</v>
      </c>
      <c r="AY28" s="117">
        <f t="shared" si="1"/>
        <v>76.415346604799993</v>
      </c>
      <c r="AZ28" s="117">
        <f t="shared" si="1"/>
        <v>78.2958137472</v>
      </c>
      <c r="BA28" s="117">
        <f t="shared" si="1"/>
        <v>80.347232448</v>
      </c>
      <c r="BB28" s="117">
        <f t="shared" si="1"/>
        <v>82.398651148799999</v>
      </c>
      <c r="BC28" s="117">
        <f t="shared" si="1"/>
        <v>84.450069849599998</v>
      </c>
      <c r="BD28" s="117">
        <f t="shared" si="1"/>
        <v>86.501488550399998</v>
      </c>
      <c r="BE28" s="117">
        <f t="shared" si="1"/>
        <v>88.552907251199983</v>
      </c>
      <c r="BF28" s="117">
        <f t="shared" si="1"/>
        <v>90.604325951999996</v>
      </c>
      <c r="BG28" s="117">
        <f t="shared" si="1"/>
        <v>92.655744652799996</v>
      </c>
      <c r="BH28" s="117">
        <f t="shared" si="1"/>
        <v>94.707163353599995</v>
      </c>
      <c r="BI28" s="117">
        <f t="shared" si="1"/>
        <v>96.758582054399994</v>
      </c>
    </row>
    <row r="29" spans="1:61" outlineLevel="1" x14ac:dyDescent="0.25">
      <c r="A29" s="542" t="s">
        <v>213</v>
      </c>
      <c r="B29" s="117">
        <f t="shared" si="2"/>
        <v>0.48999999999999994</v>
      </c>
      <c r="C29" s="117">
        <f t="shared" si="1"/>
        <v>0.97999999999999987</v>
      </c>
      <c r="D29" s="117">
        <f t="shared" si="1"/>
        <v>1.4699999999999998</v>
      </c>
      <c r="E29" s="117">
        <f t="shared" si="1"/>
        <v>1.9599999999999997</v>
      </c>
      <c r="F29" s="117">
        <f t="shared" si="1"/>
        <v>2.4499999999999997</v>
      </c>
      <c r="G29" s="117">
        <f t="shared" si="1"/>
        <v>2.9399999999999995</v>
      </c>
      <c r="H29" s="117">
        <f t="shared" si="1"/>
        <v>3.4299999999999993</v>
      </c>
      <c r="I29" s="117">
        <f t="shared" si="1"/>
        <v>4.8999999999999995</v>
      </c>
      <c r="J29" s="117">
        <f t="shared" si="1"/>
        <v>6.8599999999999985</v>
      </c>
      <c r="K29" s="117">
        <f t="shared" si="1"/>
        <v>9.7999999999999989</v>
      </c>
      <c r="L29" s="117">
        <f t="shared" si="1"/>
        <v>13.719999999999997</v>
      </c>
      <c r="M29" s="117">
        <f t="shared" si="1"/>
        <v>18.619999999999997</v>
      </c>
      <c r="N29" s="117">
        <f t="shared" si="1"/>
        <v>24.225599999999996</v>
      </c>
      <c r="O29" s="117">
        <f t="shared" si="1"/>
        <v>29.272599999999997</v>
      </c>
      <c r="P29" s="117">
        <f t="shared" si="1"/>
        <v>34.319599999999994</v>
      </c>
      <c r="Q29" s="117">
        <f t="shared" si="1"/>
        <v>39.366599999999998</v>
      </c>
      <c r="R29" s="117">
        <f t="shared" si="1"/>
        <v>44.413599999999995</v>
      </c>
      <c r="S29" s="117">
        <f t="shared" si="1"/>
        <v>49.460599999999999</v>
      </c>
      <c r="T29" s="117">
        <f t="shared" si="1"/>
        <v>54.507599999999996</v>
      </c>
      <c r="U29" s="117">
        <f t="shared" si="1"/>
        <v>59.554600000000001</v>
      </c>
      <c r="V29" s="117">
        <f t="shared" si="1"/>
        <v>64.601599999999991</v>
      </c>
      <c r="W29" s="117">
        <f t="shared" si="1"/>
        <v>70.153299999999987</v>
      </c>
      <c r="X29" s="117">
        <f t="shared" si="1"/>
        <v>75.704999999999984</v>
      </c>
      <c r="Y29" s="117">
        <f t="shared" si="1"/>
        <v>81.256699999999981</v>
      </c>
      <c r="Z29" s="117">
        <f t="shared" si="1"/>
        <v>88.544567999999998</v>
      </c>
      <c r="AA29" s="117">
        <f t="shared" si="1"/>
        <v>94.207301999999999</v>
      </c>
      <c r="AB29" s="117">
        <f t="shared" si="1"/>
        <v>99.870035999999999</v>
      </c>
      <c r="AC29" s="117">
        <f t="shared" si="1"/>
        <v>105.53277</v>
      </c>
      <c r="AD29" s="117">
        <f t="shared" si="1"/>
        <v>111.19550399999999</v>
      </c>
      <c r="AE29" s="117">
        <f t="shared" si="1"/>
        <v>116.85823799999999</v>
      </c>
      <c r="AF29" s="117">
        <f t="shared" si="1"/>
        <v>122.52097199999999</v>
      </c>
      <c r="AG29" s="117">
        <f t="shared" si="1"/>
        <v>128.18370599999997</v>
      </c>
      <c r="AH29" s="117">
        <f t="shared" si="1"/>
        <v>133.84643999999997</v>
      </c>
      <c r="AI29" s="117">
        <f t="shared" si="1"/>
        <v>139.50917399999997</v>
      </c>
      <c r="AJ29" s="117">
        <f t="shared" si="1"/>
        <v>145.171908</v>
      </c>
      <c r="AK29" s="117">
        <f t="shared" si="1"/>
        <v>150.834642</v>
      </c>
      <c r="AL29" s="117">
        <f t="shared" si="1"/>
        <v>158.84483663999998</v>
      </c>
      <c r="AM29" s="117">
        <f t="shared" si="1"/>
        <v>164.59251164999998</v>
      </c>
      <c r="AN29" s="117">
        <f t="shared" si="1"/>
        <v>170.34018665999997</v>
      </c>
      <c r="AO29" s="117">
        <f t="shared" si="1"/>
        <v>176.08786166999997</v>
      </c>
      <c r="AP29" s="117">
        <f t="shared" si="1"/>
        <v>181.83553667999999</v>
      </c>
      <c r="AQ29" s="117">
        <f t="shared" si="1"/>
        <v>187.58321168999998</v>
      </c>
      <c r="AR29" s="117">
        <f t="shared" si="1"/>
        <v>193.33088669999995</v>
      </c>
      <c r="AS29" s="117">
        <f t="shared" si="1"/>
        <v>199.07856170999995</v>
      </c>
      <c r="AT29" s="117">
        <f t="shared" si="1"/>
        <v>204.82623671999994</v>
      </c>
      <c r="AU29" s="117">
        <f t="shared" si="1"/>
        <v>210.57391172999996</v>
      </c>
      <c r="AV29" s="117">
        <f t="shared" si="1"/>
        <v>216.32158673999996</v>
      </c>
      <c r="AW29" s="117">
        <f t="shared" si="1"/>
        <v>222.06926174999995</v>
      </c>
      <c r="AX29" s="117">
        <f t="shared" si="1"/>
        <v>230.77855693787996</v>
      </c>
      <c r="AY29" s="117">
        <f t="shared" si="1"/>
        <v>236.60095172300996</v>
      </c>
      <c r="AZ29" s="117">
        <f t="shared" si="1"/>
        <v>242.42334650813999</v>
      </c>
      <c r="BA29" s="117">
        <f t="shared" si="1"/>
        <v>248.77504991009997</v>
      </c>
      <c r="BB29" s="117">
        <f t="shared" si="1"/>
        <v>255.12675331205998</v>
      </c>
      <c r="BC29" s="117">
        <f t="shared" si="1"/>
        <v>261.47845671401996</v>
      </c>
      <c r="BD29" s="117">
        <f t="shared" si="1"/>
        <v>267.83016011597999</v>
      </c>
      <c r="BE29" s="117">
        <f t="shared" si="1"/>
        <v>274.18186351793997</v>
      </c>
      <c r="BF29" s="117">
        <f t="shared" si="1"/>
        <v>280.53356691989995</v>
      </c>
      <c r="BG29" s="117">
        <f t="shared" si="1"/>
        <v>286.88527032185999</v>
      </c>
      <c r="BH29" s="117">
        <f t="shared" si="1"/>
        <v>293.23697372381997</v>
      </c>
      <c r="BI29" s="117">
        <f t="shared" si="1"/>
        <v>299.58867712577995</v>
      </c>
    </row>
    <row r="30" spans="1:61" s="2" customFormat="1" outlineLevel="1" x14ac:dyDescent="0.25">
      <c r="A30" s="17" t="s">
        <v>583</v>
      </c>
      <c r="B30" s="224">
        <f>B31+B32</f>
        <v>560</v>
      </c>
      <c r="C30" s="224">
        <f>C31+C32</f>
        <v>1120</v>
      </c>
      <c r="D30" s="224">
        <f t="shared" ref="D30:BI30" si="3">D31+D32</f>
        <v>1679.9999999999998</v>
      </c>
      <c r="E30" s="224">
        <f t="shared" si="3"/>
        <v>2240</v>
      </c>
      <c r="F30" s="224">
        <f t="shared" si="3"/>
        <v>2799.9999999999995</v>
      </c>
      <c r="G30" s="224">
        <f t="shared" si="3"/>
        <v>3359.9999999999995</v>
      </c>
      <c r="H30" s="224">
        <f t="shared" si="3"/>
        <v>3919.9999999999995</v>
      </c>
      <c r="I30" s="224">
        <f t="shared" si="3"/>
        <v>5599.9999999999991</v>
      </c>
      <c r="J30" s="224">
        <f t="shared" si="3"/>
        <v>7839.9999999999991</v>
      </c>
      <c r="K30" s="224">
        <f t="shared" si="3"/>
        <v>11199.999999999998</v>
      </c>
      <c r="L30" s="224">
        <f t="shared" si="3"/>
        <v>15679.999999999998</v>
      </c>
      <c r="M30" s="224">
        <f t="shared" si="3"/>
        <v>21280</v>
      </c>
      <c r="N30" s="224">
        <f t="shared" si="3"/>
        <v>26174.399999999994</v>
      </c>
      <c r="O30" s="224">
        <f t="shared" si="3"/>
        <v>31627.399999999998</v>
      </c>
      <c r="P30" s="224">
        <f t="shared" si="3"/>
        <v>37080.399999999994</v>
      </c>
      <c r="Q30" s="224">
        <f t="shared" si="3"/>
        <v>42533.399999999994</v>
      </c>
      <c r="R30" s="224">
        <f t="shared" si="3"/>
        <v>47986.399999999994</v>
      </c>
      <c r="S30" s="224">
        <f t="shared" si="3"/>
        <v>53439.399999999994</v>
      </c>
      <c r="T30" s="224">
        <f t="shared" si="3"/>
        <v>58892.399999999994</v>
      </c>
      <c r="U30" s="224">
        <f t="shared" si="3"/>
        <v>64345.399999999994</v>
      </c>
      <c r="V30" s="224">
        <f t="shared" si="3"/>
        <v>69798.399999999994</v>
      </c>
      <c r="W30" s="224">
        <f t="shared" si="3"/>
        <v>75796.699999999983</v>
      </c>
      <c r="X30" s="224">
        <f t="shared" si="3"/>
        <v>81794.999999999985</v>
      </c>
      <c r="Y30" s="224">
        <f t="shared" si="3"/>
        <v>87793.299999999988</v>
      </c>
      <c r="Z30" s="224">
        <f t="shared" si="3"/>
        <v>91636.44</v>
      </c>
      <c r="AA30" s="224">
        <f t="shared" si="3"/>
        <v>97496.91</v>
      </c>
      <c r="AB30" s="224">
        <f t="shared" si="3"/>
        <v>103357.37999999998</v>
      </c>
      <c r="AC30" s="224">
        <f t="shared" si="3"/>
        <v>109217.85</v>
      </c>
      <c r="AD30" s="224">
        <f t="shared" si="3"/>
        <v>115078.31999999999</v>
      </c>
      <c r="AE30" s="224">
        <f t="shared" si="3"/>
        <v>120938.78999999998</v>
      </c>
      <c r="AF30" s="224">
        <f t="shared" si="3"/>
        <v>126799.25999999998</v>
      </c>
      <c r="AG30" s="224">
        <f t="shared" si="3"/>
        <v>132659.72999999998</v>
      </c>
      <c r="AH30" s="224">
        <f t="shared" si="3"/>
        <v>138520.19999999998</v>
      </c>
      <c r="AI30" s="224">
        <f t="shared" si="3"/>
        <v>144380.66999999998</v>
      </c>
      <c r="AJ30" s="224">
        <f t="shared" si="3"/>
        <v>150241.13999999998</v>
      </c>
      <c r="AK30" s="224">
        <f t="shared" si="3"/>
        <v>156101.60999999999</v>
      </c>
      <c r="AL30" s="224">
        <f t="shared" si="3"/>
        <v>159787.27463999999</v>
      </c>
      <c r="AM30" s="224">
        <f t="shared" si="3"/>
        <v>165569.05102499999</v>
      </c>
      <c r="AN30" s="224">
        <f t="shared" si="3"/>
        <v>171350.82740999997</v>
      </c>
      <c r="AO30" s="224">
        <f t="shared" si="3"/>
        <v>177132.60379499994</v>
      </c>
      <c r="AP30" s="224">
        <f t="shared" si="3"/>
        <v>182914.38017999998</v>
      </c>
      <c r="AQ30" s="224">
        <f t="shared" si="3"/>
        <v>188696.15656500001</v>
      </c>
      <c r="AR30" s="224">
        <f t="shared" si="3"/>
        <v>194477.93294999996</v>
      </c>
      <c r="AS30" s="224">
        <f t="shared" si="3"/>
        <v>200259.70933499996</v>
      </c>
      <c r="AT30" s="224">
        <f t="shared" si="3"/>
        <v>206041.48571999994</v>
      </c>
      <c r="AU30" s="224">
        <f t="shared" si="3"/>
        <v>211823.26210499997</v>
      </c>
      <c r="AV30" s="224">
        <f t="shared" si="3"/>
        <v>217605.03848999995</v>
      </c>
      <c r="AW30" s="224">
        <f t="shared" si="3"/>
        <v>223386.81487499998</v>
      </c>
      <c r="AX30" s="224">
        <f t="shared" si="3"/>
        <v>227191.59766253998</v>
      </c>
      <c r="AY30" s="224">
        <f t="shared" si="3"/>
        <v>232923.49576870498</v>
      </c>
      <c r="AZ30" s="224">
        <f t="shared" si="3"/>
        <v>238655.39387486997</v>
      </c>
      <c r="BA30" s="224">
        <f t="shared" si="3"/>
        <v>244908.37362704996</v>
      </c>
      <c r="BB30" s="224">
        <f t="shared" si="3"/>
        <v>251161.35337922999</v>
      </c>
      <c r="BC30" s="224">
        <f t="shared" si="3"/>
        <v>257414.33313140998</v>
      </c>
      <c r="BD30" s="224">
        <f t="shared" si="3"/>
        <v>263667.31288359</v>
      </c>
      <c r="BE30" s="224">
        <f t="shared" si="3"/>
        <v>269920.29263576993</v>
      </c>
      <c r="BF30" s="224">
        <f t="shared" si="3"/>
        <v>276173.27238794998</v>
      </c>
      <c r="BG30" s="224">
        <f t="shared" si="3"/>
        <v>282426.25214012997</v>
      </c>
      <c r="BH30" s="224">
        <f t="shared" si="3"/>
        <v>288679.23189230997</v>
      </c>
      <c r="BI30" s="224">
        <f t="shared" si="3"/>
        <v>294932.21164449002</v>
      </c>
    </row>
    <row r="31" spans="1:61" outlineLevel="1" x14ac:dyDescent="0.25">
      <c r="A31" s="542" t="s">
        <v>214</v>
      </c>
      <c r="B31" s="114">
        <f>B28*$B$7</f>
        <v>315</v>
      </c>
      <c r="C31" s="114">
        <f t="shared" ref="C31:BI31" si="4">C28*$B$7</f>
        <v>630</v>
      </c>
      <c r="D31" s="114">
        <f t="shared" si="4"/>
        <v>944.99999999999989</v>
      </c>
      <c r="E31" s="114">
        <f t="shared" si="4"/>
        <v>1260</v>
      </c>
      <c r="F31" s="114">
        <f t="shared" si="4"/>
        <v>1574.9999999999998</v>
      </c>
      <c r="G31" s="114">
        <f t="shared" si="4"/>
        <v>1889.9999999999998</v>
      </c>
      <c r="H31" s="114">
        <f t="shared" si="4"/>
        <v>2205</v>
      </c>
      <c r="I31" s="114">
        <f t="shared" si="4"/>
        <v>3149.9999999999995</v>
      </c>
      <c r="J31" s="114">
        <f t="shared" si="4"/>
        <v>4410</v>
      </c>
      <c r="K31" s="114">
        <f t="shared" si="4"/>
        <v>6299.9999999999991</v>
      </c>
      <c r="L31" s="114">
        <f t="shared" si="4"/>
        <v>8820</v>
      </c>
      <c r="M31" s="114">
        <f t="shared" si="4"/>
        <v>11970</v>
      </c>
      <c r="N31" s="114">
        <f t="shared" si="4"/>
        <v>14061.599999999999</v>
      </c>
      <c r="O31" s="114">
        <f t="shared" si="4"/>
        <v>16991.099999999999</v>
      </c>
      <c r="P31" s="114">
        <f t="shared" si="4"/>
        <v>19920.599999999999</v>
      </c>
      <c r="Q31" s="114">
        <f t="shared" si="4"/>
        <v>22850.099999999995</v>
      </c>
      <c r="R31" s="114">
        <f t="shared" si="4"/>
        <v>25779.599999999995</v>
      </c>
      <c r="S31" s="114">
        <f t="shared" si="4"/>
        <v>28709.1</v>
      </c>
      <c r="T31" s="114">
        <f t="shared" si="4"/>
        <v>31638.6</v>
      </c>
      <c r="U31" s="114">
        <f t="shared" si="4"/>
        <v>34568.1</v>
      </c>
      <c r="V31" s="114">
        <f t="shared" si="4"/>
        <v>37497.599999999999</v>
      </c>
      <c r="W31" s="114">
        <f t="shared" si="4"/>
        <v>40720.049999999996</v>
      </c>
      <c r="X31" s="114">
        <f t="shared" si="4"/>
        <v>43942.499999999993</v>
      </c>
      <c r="Y31" s="114">
        <f t="shared" si="4"/>
        <v>47164.95</v>
      </c>
      <c r="Z31" s="114">
        <f t="shared" si="4"/>
        <v>47364.155999999995</v>
      </c>
      <c r="AA31" s="114">
        <f t="shared" si="4"/>
        <v>50393.258999999998</v>
      </c>
      <c r="AB31" s="114">
        <f t="shared" si="4"/>
        <v>53422.361999999986</v>
      </c>
      <c r="AC31" s="114">
        <f t="shared" si="4"/>
        <v>56451.464999999997</v>
      </c>
      <c r="AD31" s="114">
        <f t="shared" si="4"/>
        <v>59480.567999999999</v>
      </c>
      <c r="AE31" s="114">
        <f t="shared" si="4"/>
        <v>62509.670999999995</v>
      </c>
      <c r="AF31" s="114">
        <f t="shared" si="4"/>
        <v>65538.77399999999</v>
      </c>
      <c r="AG31" s="114">
        <f t="shared" si="4"/>
        <v>68567.876999999993</v>
      </c>
      <c r="AH31" s="114">
        <f t="shared" si="4"/>
        <v>71596.98</v>
      </c>
      <c r="AI31" s="114">
        <f t="shared" si="4"/>
        <v>74626.082999999984</v>
      </c>
      <c r="AJ31" s="114">
        <f t="shared" si="4"/>
        <v>77655.185999999987</v>
      </c>
      <c r="AK31" s="114">
        <f t="shared" si="4"/>
        <v>80684.28899999999</v>
      </c>
      <c r="AL31" s="114">
        <f t="shared" si="4"/>
        <v>80364.856319999992</v>
      </c>
      <c r="AM31" s="114">
        <f t="shared" si="4"/>
        <v>83272.795199999993</v>
      </c>
      <c r="AN31" s="114">
        <f t="shared" si="4"/>
        <v>86180.734079999995</v>
      </c>
      <c r="AO31" s="114">
        <f t="shared" si="4"/>
        <v>89088.672959999982</v>
      </c>
      <c r="AP31" s="114">
        <f t="shared" si="4"/>
        <v>91996.611839999983</v>
      </c>
      <c r="AQ31" s="114">
        <f t="shared" si="4"/>
        <v>94904.550719999999</v>
      </c>
      <c r="AR31" s="114">
        <f t="shared" si="4"/>
        <v>97812.489599999986</v>
      </c>
      <c r="AS31" s="114">
        <f t="shared" si="4"/>
        <v>100720.42848</v>
      </c>
      <c r="AT31" s="114">
        <f t="shared" si="4"/>
        <v>103628.36735999999</v>
      </c>
      <c r="AU31" s="114">
        <f t="shared" si="4"/>
        <v>106536.30623999999</v>
      </c>
      <c r="AV31" s="114">
        <f t="shared" si="4"/>
        <v>109444.24511999998</v>
      </c>
      <c r="AW31" s="114">
        <f t="shared" si="4"/>
        <v>112352.18399999999</v>
      </c>
      <c r="AX31" s="114">
        <f t="shared" si="4"/>
        <v>111802.31919359999</v>
      </c>
      <c r="AY31" s="114">
        <f t="shared" si="4"/>
        <v>114623.0199072</v>
      </c>
      <c r="AZ31" s="114">
        <f t="shared" si="4"/>
        <v>117443.7206208</v>
      </c>
      <c r="BA31" s="114">
        <f t="shared" si="4"/>
        <v>120520.84867199999</v>
      </c>
      <c r="BB31" s="114">
        <f t="shared" si="4"/>
        <v>123597.9767232</v>
      </c>
      <c r="BC31" s="114">
        <f t="shared" si="4"/>
        <v>126675.1047744</v>
      </c>
      <c r="BD31" s="114">
        <f t="shared" si="4"/>
        <v>129752.2328256</v>
      </c>
      <c r="BE31" s="114">
        <f t="shared" si="4"/>
        <v>132829.36087679997</v>
      </c>
      <c r="BF31" s="114">
        <f t="shared" si="4"/>
        <v>135906.48892800001</v>
      </c>
      <c r="BG31" s="114">
        <f t="shared" si="4"/>
        <v>138983.61697919999</v>
      </c>
      <c r="BH31" s="114">
        <f t="shared" si="4"/>
        <v>142060.74503039999</v>
      </c>
      <c r="BI31" s="114">
        <f t="shared" si="4"/>
        <v>145137.8730816</v>
      </c>
    </row>
    <row r="32" spans="1:61" outlineLevel="1" x14ac:dyDescent="0.25">
      <c r="A32" s="542" t="s">
        <v>213</v>
      </c>
      <c r="B32" s="114">
        <f>B29*$B$8</f>
        <v>244.99999999999997</v>
      </c>
      <c r="C32" s="114">
        <f t="shared" ref="C32:BI32" si="5">C29*$B$8</f>
        <v>489.99999999999994</v>
      </c>
      <c r="D32" s="114">
        <f t="shared" si="5"/>
        <v>734.99999999999989</v>
      </c>
      <c r="E32" s="114">
        <f t="shared" si="5"/>
        <v>979.99999999999989</v>
      </c>
      <c r="F32" s="114">
        <f t="shared" si="5"/>
        <v>1224.9999999999998</v>
      </c>
      <c r="G32" s="114">
        <f t="shared" si="5"/>
        <v>1469.9999999999998</v>
      </c>
      <c r="H32" s="114">
        <f t="shared" si="5"/>
        <v>1714.9999999999995</v>
      </c>
      <c r="I32" s="114">
        <f t="shared" si="5"/>
        <v>2449.9999999999995</v>
      </c>
      <c r="J32" s="114">
        <f t="shared" si="5"/>
        <v>3429.9999999999991</v>
      </c>
      <c r="K32" s="114">
        <f t="shared" si="5"/>
        <v>4899.9999999999991</v>
      </c>
      <c r="L32" s="114">
        <f t="shared" si="5"/>
        <v>6859.9999999999982</v>
      </c>
      <c r="M32" s="114">
        <f t="shared" si="5"/>
        <v>9309.9999999999982</v>
      </c>
      <c r="N32" s="114">
        <f t="shared" si="5"/>
        <v>12112.799999999997</v>
      </c>
      <c r="O32" s="114">
        <f t="shared" si="5"/>
        <v>14636.3</v>
      </c>
      <c r="P32" s="114">
        <f t="shared" si="5"/>
        <v>17159.799999999996</v>
      </c>
      <c r="Q32" s="114">
        <f t="shared" si="5"/>
        <v>19683.3</v>
      </c>
      <c r="R32" s="114">
        <f t="shared" si="5"/>
        <v>22206.799999999999</v>
      </c>
      <c r="S32" s="114">
        <f t="shared" si="5"/>
        <v>24730.3</v>
      </c>
      <c r="T32" s="114">
        <f t="shared" si="5"/>
        <v>27253.8</v>
      </c>
      <c r="U32" s="114">
        <f t="shared" si="5"/>
        <v>29777.3</v>
      </c>
      <c r="V32" s="114">
        <f t="shared" si="5"/>
        <v>32300.799999999996</v>
      </c>
      <c r="W32" s="114">
        <f t="shared" si="5"/>
        <v>35076.649999999994</v>
      </c>
      <c r="X32" s="114">
        <f t="shared" si="5"/>
        <v>37852.499999999993</v>
      </c>
      <c r="Y32" s="114">
        <f t="shared" si="5"/>
        <v>40628.349999999991</v>
      </c>
      <c r="Z32" s="114">
        <f t="shared" si="5"/>
        <v>44272.284</v>
      </c>
      <c r="AA32" s="114">
        <f t="shared" si="5"/>
        <v>47103.650999999998</v>
      </c>
      <c r="AB32" s="114">
        <f t="shared" si="5"/>
        <v>49935.017999999996</v>
      </c>
      <c r="AC32" s="114">
        <f t="shared" si="5"/>
        <v>52766.385000000002</v>
      </c>
      <c r="AD32" s="114">
        <f t="shared" si="5"/>
        <v>55597.751999999993</v>
      </c>
      <c r="AE32" s="114">
        <f t="shared" si="5"/>
        <v>58429.118999999992</v>
      </c>
      <c r="AF32" s="114">
        <f t="shared" si="5"/>
        <v>61260.48599999999</v>
      </c>
      <c r="AG32" s="114">
        <f t="shared" si="5"/>
        <v>64091.852999999988</v>
      </c>
      <c r="AH32" s="114">
        <f t="shared" si="5"/>
        <v>66923.219999999987</v>
      </c>
      <c r="AI32" s="114">
        <f t="shared" si="5"/>
        <v>69754.586999999985</v>
      </c>
      <c r="AJ32" s="114">
        <f t="shared" si="5"/>
        <v>72585.953999999998</v>
      </c>
      <c r="AK32" s="114">
        <f t="shared" si="5"/>
        <v>75417.320999999996</v>
      </c>
      <c r="AL32" s="114">
        <f t="shared" si="5"/>
        <v>79422.418319999997</v>
      </c>
      <c r="AM32" s="114">
        <f t="shared" si="5"/>
        <v>82296.255824999986</v>
      </c>
      <c r="AN32" s="114">
        <f t="shared" si="5"/>
        <v>85170.093329999989</v>
      </c>
      <c r="AO32" s="114">
        <f t="shared" si="5"/>
        <v>88043.930834999977</v>
      </c>
      <c r="AP32" s="114">
        <f t="shared" si="5"/>
        <v>90917.768339999995</v>
      </c>
      <c r="AQ32" s="114">
        <f t="shared" si="5"/>
        <v>93791.605844999998</v>
      </c>
      <c r="AR32" s="114">
        <f t="shared" si="5"/>
        <v>96665.443349999972</v>
      </c>
      <c r="AS32" s="114">
        <f t="shared" si="5"/>
        <v>99539.280854999975</v>
      </c>
      <c r="AT32" s="114">
        <f t="shared" si="5"/>
        <v>102413.11835999996</v>
      </c>
      <c r="AU32" s="114">
        <f t="shared" si="5"/>
        <v>105286.95586499998</v>
      </c>
      <c r="AV32" s="114">
        <f t="shared" si="5"/>
        <v>108160.79336999998</v>
      </c>
      <c r="AW32" s="114">
        <f t="shared" si="5"/>
        <v>111034.63087499997</v>
      </c>
      <c r="AX32" s="114">
        <f t="shared" si="5"/>
        <v>115389.27846893997</v>
      </c>
      <c r="AY32" s="114">
        <f t="shared" si="5"/>
        <v>118300.47586150498</v>
      </c>
      <c r="AZ32" s="114">
        <f t="shared" si="5"/>
        <v>121211.67325406999</v>
      </c>
      <c r="BA32" s="114">
        <f t="shared" si="5"/>
        <v>124387.52495504999</v>
      </c>
      <c r="BB32" s="114">
        <f t="shared" si="5"/>
        <v>127563.37665602998</v>
      </c>
      <c r="BC32" s="114">
        <f t="shared" si="5"/>
        <v>130739.22835700998</v>
      </c>
      <c r="BD32" s="114">
        <f t="shared" si="5"/>
        <v>133915.08005799001</v>
      </c>
      <c r="BE32" s="114">
        <f t="shared" si="5"/>
        <v>137090.93175896999</v>
      </c>
      <c r="BF32" s="114">
        <f t="shared" si="5"/>
        <v>140266.78345994998</v>
      </c>
      <c r="BG32" s="114">
        <f t="shared" si="5"/>
        <v>143442.63516092999</v>
      </c>
      <c r="BH32" s="114">
        <f t="shared" si="5"/>
        <v>146618.48686190997</v>
      </c>
      <c r="BI32" s="114">
        <f t="shared" si="5"/>
        <v>149794.33856288999</v>
      </c>
    </row>
    <row r="33" spans="1:61" x14ac:dyDescent="0.25">
      <c r="A33" s="542" t="str">
        <f>A4</f>
        <v>WGF Commission rate</v>
      </c>
      <c r="B33" s="114">
        <f>B30*$B$4</f>
        <v>22.400000000000002</v>
      </c>
      <c r="C33" s="114">
        <f t="shared" ref="C33:BI33" si="6">C30*$B$4</f>
        <v>44.800000000000004</v>
      </c>
      <c r="D33" s="114">
        <f t="shared" si="6"/>
        <v>67.199999999999989</v>
      </c>
      <c r="E33" s="114">
        <f t="shared" si="6"/>
        <v>89.600000000000009</v>
      </c>
      <c r="F33" s="114">
        <f t="shared" si="6"/>
        <v>111.99999999999999</v>
      </c>
      <c r="G33" s="114">
        <f t="shared" si="6"/>
        <v>134.39999999999998</v>
      </c>
      <c r="H33" s="114">
        <f t="shared" si="6"/>
        <v>156.79999999999998</v>
      </c>
      <c r="I33" s="114">
        <f t="shared" si="6"/>
        <v>223.99999999999997</v>
      </c>
      <c r="J33" s="114">
        <f t="shared" si="6"/>
        <v>313.59999999999997</v>
      </c>
      <c r="K33" s="114">
        <f t="shared" si="6"/>
        <v>447.99999999999994</v>
      </c>
      <c r="L33" s="114">
        <f t="shared" si="6"/>
        <v>627.19999999999993</v>
      </c>
      <c r="M33" s="114">
        <f t="shared" si="6"/>
        <v>851.2</v>
      </c>
      <c r="N33" s="114">
        <f t="shared" si="6"/>
        <v>1046.9759999999999</v>
      </c>
      <c r="O33" s="114">
        <f t="shared" si="6"/>
        <v>1265.096</v>
      </c>
      <c r="P33" s="114">
        <f t="shared" si="6"/>
        <v>1483.2159999999999</v>
      </c>
      <c r="Q33" s="114">
        <f t="shared" si="6"/>
        <v>1701.3359999999998</v>
      </c>
      <c r="R33" s="114">
        <f t="shared" si="6"/>
        <v>1919.4559999999999</v>
      </c>
      <c r="S33" s="114">
        <f t="shared" si="6"/>
        <v>2137.576</v>
      </c>
      <c r="T33" s="114">
        <f t="shared" si="6"/>
        <v>2355.6959999999999</v>
      </c>
      <c r="U33" s="114">
        <f t="shared" si="6"/>
        <v>2573.8159999999998</v>
      </c>
      <c r="V33" s="114">
        <f t="shared" si="6"/>
        <v>2791.9359999999997</v>
      </c>
      <c r="W33" s="114">
        <f t="shared" si="6"/>
        <v>3031.8679999999995</v>
      </c>
      <c r="X33" s="114">
        <f t="shared" si="6"/>
        <v>3271.7999999999993</v>
      </c>
      <c r="Y33" s="114">
        <f t="shared" si="6"/>
        <v>3511.7319999999995</v>
      </c>
      <c r="Z33" s="114">
        <f t="shared" si="6"/>
        <v>3665.4576000000002</v>
      </c>
      <c r="AA33" s="114">
        <f t="shared" si="6"/>
        <v>3899.8764000000001</v>
      </c>
      <c r="AB33" s="114">
        <f t="shared" si="6"/>
        <v>4134.2951999999987</v>
      </c>
      <c r="AC33" s="114">
        <f t="shared" si="6"/>
        <v>4368.7139999999999</v>
      </c>
      <c r="AD33" s="114">
        <f t="shared" si="6"/>
        <v>4603.1327999999994</v>
      </c>
      <c r="AE33" s="114">
        <f t="shared" si="6"/>
        <v>4837.5515999999989</v>
      </c>
      <c r="AF33" s="114">
        <f t="shared" si="6"/>
        <v>5071.9703999999992</v>
      </c>
      <c r="AG33" s="114">
        <f t="shared" si="6"/>
        <v>5306.3891999999996</v>
      </c>
      <c r="AH33" s="114">
        <f t="shared" si="6"/>
        <v>5540.8079999999991</v>
      </c>
      <c r="AI33" s="114">
        <f t="shared" si="6"/>
        <v>5775.2267999999995</v>
      </c>
      <c r="AJ33" s="114">
        <f t="shared" si="6"/>
        <v>6009.6455999999998</v>
      </c>
      <c r="AK33" s="114">
        <f t="shared" si="6"/>
        <v>6244.0643999999993</v>
      </c>
      <c r="AL33" s="114">
        <f t="shared" si="6"/>
        <v>6391.4909855999995</v>
      </c>
      <c r="AM33" s="114">
        <f t="shared" si="6"/>
        <v>6622.762041</v>
      </c>
      <c r="AN33" s="114">
        <f t="shared" si="6"/>
        <v>6854.0330963999986</v>
      </c>
      <c r="AO33" s="114">
        <f t="shared" si="6"/>
        <v>7085.3041517999982</v>
      </c>
      <c r="AP33" s="114">
        <f t="shared" si="6"/>
        <v>7316.5752071999996</v>
      </c>
      <c r="AQ33" s="114">
        <f t="shared" si="6"/>
        <v>7547.846262600001</v>
      </c>
      <c r="AR33" s="114">
        <f t="shared" si="6"/>
        <v>7779.1173179999987</v>
      </c>
      <c r="AS33" s="114">
        <f t="shared" si="6"/>
        <v>8010.3883733999983</v>
      </c>
      <c r="AT33" s="114">
        <f t="shared" si="6"/>
        <v>8241.6594287999978</v>
      </c>
      <c r="AU33" s="114">
        <f t="shared" si="6"/>
        <v>8472.9304841999983</v>
      </c>
      <c r="AV33" s="114">
        <f t="shared" si="6"/>
        <v>8704.2015395999988</v>
      </c>
      <c r="AW33" s="114">
        <f t="shared" si="6"/>
        <v>8935.4725949999993</v>
      </c>
      <c r="AX33" s="114">
        <f t="shared" si="6"/>
        <v>9087.6639065015988</v>
      </c>
      <c r="AY33" s="114">
        <f t="shared" si="6"/>
        <v>9316.9398307481988</v>
      </c>
      <c r="AZ33" s="114">
        <f t="shared" si="6"/>
        <v>9546.2157549947988</v>
      </c>
      <c r="BA33" s="114">
        <f t="shared" si="6"/>
        <v>9796.3349450819987</v>
      </c>
      <c r="BB33" s="114">
        <f t="shared" si="6"/>
        <v>10046.454135169201</v>
      </c>
      <c r="BC33" s="114">
        <f t="shared" si="6"/>
        <v>10296.573325256399</v>
      </c>
      <c r="BD33" s="114">
        <f t="shared" si="6"/>
        <v>10546.6925153436</v>
      </c>
      <c r="BE33" s="114">
        <f t="shared" si="6"/>
        <v>10796.811705430797</v>
      </c>
      <c r="BF33" s="114">
        <f t="shared" si="6"/>
        <v>11046.930895518</v>
      </c>
      <c r="BG33" s="114">
        <f t="shared" si="6"/>
        <v>11297.050085605199</v>
      </c>
      <c r="BH33" s="114">
        <f t="shared" si="6"/>
        <v>11547.169275692399</v>
      </c>
      <c r="BI33" s="114">
        <f t="shared" si="6"/>
        <v>11797.2884657796</v>
      </c>
    </row>
    <row r="34" spans="1:61" x14ac:dyDescent="0.25">
      <c r="A34" s="542" t="s">
        <v>584</v>
      </c>
      <c r="B34" s="114">
        <f>B30*$B$5</f>
        <v>11.200000000000001</v>
      </c>
      <c r="C34" s="114">
        <f t="shared" ref="C34:BI34" si="7">C30*$B$5</f>
        <v>22.400000000000002</v>
      </c>
      <c r="D34" s="114">
        <f t="shared" si="7"/>
        <v>33.599999999999994</v>
      </c>
      <c r="E34" s="114">
        <f t="shared" si="7"/>
        <v>44.800000000000004</v>
      </c>
      <c r="F34" s="114">
        <f t="shared" si="7"/>
        <v>55.999999999999993</v>
      </c>
      <c r="G34" s="114">
        <f t="shared" si="7"/>
        <v>67.199999999999989</v>
      </c>
      <c r="H34" s="114">
        <f t="shared" si="7"/>
        <v>78.399999999999991</v>
      </c>
      <c r="I34" s="114">
        <f t="shared" si="7"/>
        <v>111.99999999999999</v>
      </c>
      <c r="J34" s="114">
        <f t="shared" si="7"/>
        <v>156.79999999999998</v>
      </c>
      <c r="K34" s="114">
        <f t="shared" si="7"/>
        <v>223.99999999999997</v>
      </c>
      <c r="L34" s="114">
        <f t="shared" si="7"/>
        <v>313.59999999999997</v>
      </c>
      <c r="M34" s="114">
        <f t="shared" si="7"/>
        <v>425.6</v>
      </c>
      <c r="N34" s="114">
        <f t="shared" si="7"/>
        <v>523.48799999999994</v>
      </c>
      <c r="O34" s="114">
        <f t="shared" si="7"/>
        <v>632.548</v>
      </c>
      <c r="P34" s="114">
        <f t="shared" si="7"/>
        <v>741.60799999999995</v>
      </c>
      <c r="Q34" s="114">
        <f t="shared" si="7"/>
        <v>850.66799999999989</v>
      </c>
      <c r="R34" s="114">
        <f t="shared" si="7"/>
        <v>959.72799999999995</v>
      </c>
      <c r="S34" s="114">
        <f t="shared" si="7"/>
        <v>1068.788</v>
      </c>
      <c r="T34" s="114">
        <f t="shared" si="7"/>
        <v>1177.848</v>
      </c>
      <c r="U34" s="114">
        <f t="shared" si="7"/>
        <v>1286.9079999999999</v>
      </c>
      <c r="V34" s="114">
        <f t="shared" si="7"/>
        <v>1395.9679999999998</v>
      </c>
      <c r="W34" s="114">
        <f t="shared" si="7"/>
        <v>1515.9339999999997</v>
      </c>
      <c r="X34" s="114">
        <f t="shared" si="7"/>
        <v>1635.8999999999996</v>
      </c>
      <c r="Y34" s="114">
        <f t="shared" si="7"/>
        <v>1755.8659999999998</v>
      </c>
      <c r="Z34" s="114">
        <f t="shared" si="7"/>
        <v>1832.7288000000001</v>
      </c>
      <c r="AA34" s="114">
        <f t="shared" si="7"/>
        <v>1949.9382000000001</v>
      </c>
      <c r="AB34" s="114">
        <f t="shared" si="7"/>
        <v>2067.1475999999993</v>
      </c>
      <c r="AC34" s="114">
        <f t="shared" si="7"/>
        <v>2184.357</v>
      </c>
      <c r="AD34" s="114">
        <f t="shared" si="7"/>
        <v>2301.5663999999997</v>
      </c>
      <c r="AE34" s="114">
        <f t="shared" si="7"/>
        <v>2418.7757999999994</v>
      </c>
      <c r="AF34" s="114">
        <f t="shared" si="7"/>
        <v>2535.9851999999996</v>
      </c>
      <c r="AG34" s="114">
        <f t="shared" si="7"/>
        <v>2653.1945999999998</v>
      </c>
      <c r="AH34" s="114">
        <f t="shared" si="7"/>
        <v>2770.4039999999995</v>
      </c>
      <c r="AI34" s="114">
        <f t="shared" si="7"/>
        <v>2887.6133999999997</v>
      </c>
      <c r="AJ34" s="114">
        <f t="shared" si="7"/>
        <v>3004.8227999999999</v>
      </c>
      <c r="AK34" s="114">
        <f t="shared" si="7"/>
        <v>3122.0321999999996</v>
      </c>
      <c r="AL34" s="114">
        <f t="shared" si="7"/>
        <v>3195.7454927999997</v>
      </c>
      <c r="AM34" s="114">
        <f t="shared" si="7"/>
        <v>3311.3810205</v>
      </c>
      <c r="AN34" s="114">
        <f t="shared" si="7"/>
        <v>3427.0165481999993</v>
      </c>
      <c r="AO34" s="114">
        <f t="shared" si="7"/>
        <v>3542.6520758999991</v>
      </c>
      <c r="AP34" s="114">
        <f t="shared" si="7"/>
        <v>3658.2876035999998</v>
      </c>
      <c r="AQ34" s="114">
        <f t="shared" si="7"/>
        <v>3773.9231313000005</v>
      </c>
      <c r="AR34" s="114">
        <f t="shared" si="7"/>
        <v>3889.5586589999994</v>
      </c>
      <c r="AS34" s="114">
        <f t="shared" si="7"/>
        <v>4005.1941866999991</v>
      </c>
      <c r="AT34" s="114">
        <f t="shared" si="7"/>
        <v>4120.8297143999989</v>
      </c>
      <c r="AU34" s="114">
        <f t="shared" si="7"/>
        <v>4236.4652420999992</v>
      </c>
      <c r="AV34" s="114">
        <f t="shared" si="7"/>
        <v>4352.1007697999994</v>
      </c>
      <c r="AW34" s="114">
        <f t="shared" si="7"/>
        <v>4467.7362974999996</v>
      </c>
      <c r="AX34" s="114">
        <f t="shared" si="7"/>
        <v>4543.8319532507994</v>
      </c>
      <c r="AY34" s="114">
        <f t="shared" si="7"/>
        <v>4658.4699153740994</v>
      </c>
      <c r="AZ34" s="114">
        <f t="shared" si="7"/>
        <v>4773.1078774973994</v>
      </c>
      <c r="BA34" s="114">
        <f t="shared" si="7"/>
        <v>4898.1674725409994</v>
      </c>
      <c r="BB34" s="114">
        <f t="shared" si="7"/>
        <v>5023.2270675846003</v>
      </c>
      <c r="BC34" s="114">
        <f t="shared" si="7"/>
        <v>5148.2866626281993</v>
      </c>
      <c r="BD34" s="114">
        <f t="shared" si="7"/>
        <v>5273.3462576718002</v>
      </c>
      <c r="BE34" s="114">
        <f t="shared" si="7"/>
        <v>5398.4058527153984</v>
      </c>
      <c r="BF34" s="114">
        <f t="shared" si="7"/>
        <v>5523.4654477590002</v>
      </c>
      <c r="BG34" s="114">
        <f t="shared" si="7"/>
        <v>5648.5250428025993</v>
      </c>
      <c r="BH34" s="114">
        <f t="shared" si="7"/>
        <v>5773.5846378461993</v>
      </c>
      <c r="BI34" s="114">
        <f t="shared" si="7"/>
        <v>5898.6442328898002</v>
      </c>
    </row>
    <row r="35" spans="1:61" x14ac:dyDescent="0.25">
      <c r="A35" s="2"/>
      <c r="E35" s="2"/>
      <c r="H35" s="110"/>
    </row>
    <row r="36" spans="1:61" s="527" customFormat="1" ht="20" customHeight="1" x14ac:dyDescent="0.25">
      <c r="A36" s="527" t="str">
        <f>A10</f>
        <v>WGF online tournaments support</v>
      </c>
      <c r="B36" s="527">
        <f>B23</f>
        <v>43831</v>
      </c>
      <c r="C36" s="527">
        <f>C23</f>
        <v>43862</v>
      </c>
      <c r="D36" s="527">
        <f t="shared" ref="D36:BI36" si="8">D23</f>
        <v>43891</v>
      </c>
      <c r="E36" s="527">
        <f t="shared" si="8"/>
        <v>43922</v>
      </c>
      <c r="F36" s="527">
        <f t="shared" si="8"/>
        <v>43952</v>
      </c>
      <c r="G36" s="527">
        <f t="shared" si="8"/>
        <v>43983</v>
      </c>
      <c r="H36" s="527">
        <f t="shared" si="8"/>
        <v>44013</v>
      </c>
      <c r="I36" s="527">
        <f t="shared" si="8"/>
        <v>44044</v>
      </c>
      <c r="J36" s="527">
        <f t="shared" si="8"/>
        <v>44075</v>
      </c>
      <c r="K36" s="527">
        <f t="shared" si="8"/>
        <v>44105</v>
      </c>
      <c r="L36" s="527">
        <f t="shared" si="8"/>
        <v>44136</v>
      </c>
      <c r="M36" s="527">
        <f t="shared" si="8"/>
        <v>44166</v>
      </c>
      <c r="N36" s="527">
        <f t="shared" si="8"/>
        <v>44197</v>
      </c>
      <c r="O36" s="527">
        <f t="shared" si="8"/>
        <v>44228</v>
      </c>
      <c r="P36" s="527">
        <f t="shared" si="8"/>
        <v>44259</v>
      </c>
      <c r="Q36" s="527">
        <f t="shared" si="8"/>
        <v>44290</v>
      </c>
      <c r="R36" s="527">
        <f t="shared" si="8"/>
        <v>44321</v>
      </c>
      <c r="S36" s="527">
        <f t="shared" si="8"/>
        <v>44352</v>
      </c>
      <c r="T36" s="527">
        <f t="shared" si="8"/>
        <v>44383</v>
      </c>
      <c r="U36" s="527">
        <f t="shared" si="8"/>
        <v>44414</v>
      </c>
      <c r="V36" s="527">
        <f t="shared" si="8"/>
        <v>44445</v>
      </c>
      <c r="W36" s="527">
        <f t="shared" si="8"/>
        <v>44476</v>
      </c>
      <c r="X36" s="527">
        <f t="shared" si="8"/>
        <v>44507</v>
      </c>
      <c r="Y36" s="527">
        <f t="shared" si="8"/>
        <v>44538</v>
      </c>
      <c r="Z36" s="527">
        <f t="shared" si="8"/>
        <v>44569</v>
      </c>
      <c r="AA36" s="527">
        <f t="shared" si="8"/>
        <v>44600</v>
      </c>
      <c r="AB36" s="527">
        <f t="shared" si="8"/>
        <v>44631</v>
      </c>
      <c r="AC36" s="527">
        <f t="shared" si="8"/>
        <v>44662</v>
      </c>
      <c r="AD36" s="527">
        <f t="shared" si="8"/>
        <v>44693</v>
      </c>
      <c r="AE36" s="527">
        <f t="shared" si="8"/>
        <v>44724</v>
      </c>
      <c r="AF36" s="527">
        <f t="shared" si="8"/>
        <v>44755</v>
      </c>
      <c r="AG36" s="527">
        <f t="shared" si="8"/>
        <v>44786</v>
      </c>
      <c r="AH36" s="527">
        <f t="shared" si="8"/>
        <v>44817</v>
      </c>
      <c r="AI36" s="527">
        <f t="shared" si="8"/>
        <v>44848</v>
      </c>
      <c r="AJ36" s="527">
        <f t="shared" si="8"/>
        <v>44879</v>
      </c>
      <c r="AK36" s="527">
        <f t="shared" si="8"/>
        <v>44910</v>
      </c>
      <c r="AL36" s="527">
        <f t="shared" si="8"/>
        <v>44941</v>
      </c>
      <c r="AM36" s="527">
        <f t="shared" si="8"/>
        <v>44972</v>
      </c>
      <c r="AN36" s="527">
        <f t="shared" si="8"/>
        <v>45003</v>
      </c>
      <c r="AO36" s="527">
        <f t="shared" si="8"/>
        <v>45034</v>
      </c>
      <c r="AP36" s="527">
        <f t="shared" si="8"/>
        <v>45065</v>
      </c>
      <c r="AQ36" s="527">
        <f t="shared" si="8"/>
        <v>45096</v>
      </c>
      <c r="AR36" s="527">
        <f t="shared" si="8"/>
        <v>45127</v>
      </c>
      <c r="AS36" s="527">
        <f t="shared" si="8"/>
        <v>45158</v>
      </c>
      <c r="AT36" s="527">
        <f t="shared" si="8"/>
        <v>45189</v>
      </c>
      <c r="AU36" s="527">
        <f t="shared" si="8"/>
        <v>45220</v>
      </c>
      <c r="AV36" s="527">
        <f t="shared" si="8"/>
        <v>45251</v>
      </c>
      <c r="AW36" s="527">
        <f t="shared" si="8"/>
        <v>45282</v>
      </c>
      <c r="AX36" s="527">
        <f t="shared" si="8"/>
        <v>45313</v>
      </c>
      <c r="AY36" s="527">
        <f t="shared" si="8"/>
        <v>45344</v>
      </c>
      <c r="AZ36" s="527">
        <f t="shared" si="8"/>
        <v>45375</v>
      </c>
      <c r="BA36" s="527">
        <f t="shared" si="8"/>
        <v>45406</v>
      </c>
      <c r="BB36" s="527">
        <f t="shared" si="8"/>
        <v>45437</v>
      </c>
      <c r="BC36" s="527">
        <f t="shared" si="8"/>
        <v>45468</v>
      </c>
      <c r="BD36" s="527">
        <f t="shared" si="8"/>
        <v>45499</v>
      </c>
      <c r="BE36" s="527">
        <f t="shared" si="8"/>
        <v>45530</v>
      </c>
      <c r="BF36" s="527">
        <f t="shared" si="8"/>
        <v>45561</v>
      </c>
      <c r="BG36" s="527">
        <f t="shared" si="8"/>
        <v>45592</v>
      </c>
      <c r="BH36" s="527">
        <f t="shared" si="8"/>
        <v>45623</v>
      </c>
      <c r="BI36" s="527">
        <f t="shared" si="8"/>
        <v>45654</v>
      </c>
    </row>
    <row r="37" spans="1:61" outlineLevel="1" x14ac:dyDescent="0.25">
      <c r="A37" s="18" t="s">
        <v>589</v>
      </c>
      <c r="B37" s="136">
        <f>B38+B39</f>
        <v>5.5999999999999994E-2</v>
      </c>
      <c r="C37" s="136">
        <f t="shared" ref="C37:BI37" si="9">C38+C39</f>
        <v>0.11199999999999999</v>
      </c>
      <c r="D37" s="136">
        <f t="shared" si="9"/>
        <v>0.16799999999999998</v>
      </c>
      <c r="E37" s="136">
        <f t="shared" si="9"/>
        <v>0.22399999999999998</v>
      </c>
      <c r="F37" s="136">
        <f t="shared" si="9"/>
        <v>0.28000000000000003</v>
      </c>
      <c r="G37" s="136">
        <f t="shared" si="9"/>
        <v>0.33599999999999997</v>
      </c>
      <c r="H37" s="136">
        <f t="shared" si="9"/>
        <v>0.39200000000000002</v>
      </c>
      <c r="I37" s="136">
        <f t="shared" si="9"/>
        <v>0.56000000000000005</v>
      </c>
      <c r="J37" s="136">
        <f t="shared" si="9"/>
        <v>0.78400000000000003</v>
      </c>
      <c r="K37" s="136">
        <f t="shared" si="9"/>
        <v>1.1200000000000001</v>
      </c>
      <c r="L37" s="136">
        <f t="shared" si="9"/>
        <v>1.5680000000000001</v>
      </c>
      <c r="M37" s="136">
        <f t="shared" si="9"/>
        <v>2.1280000000000001</v>
      </c>
      <c r="N37" s="136">
        <f t="shared" si="9"/>
        <v>2.66784</v>
      </c>
      <c r="O37" s="136">
        <f t="shared" si="9"/>
        <v>3.2236400000000001</v>
      </c>
      <c r="P37" s="136">
        <f t="shared" si="9"/>
        <v>3.7794400000000001</v>
      </c>
      <c r="Q37" s="136">
        <f t="shared" si="9"/>
        <v>4.3352399999999998</v>
      </c>
      <c r="R37" s="136">
        <f t="shared" si="9"/>
        <v>4.8910400000000003</v>
      </c>
      <c r="S37" s="136">
        <f t="shared" si="9"/>
        <v>5.4468399999999999</v>
      </c>
      <c r="T37" s="136">
        <f t="shared" si="9"/>
        <v>6.0026399999999995</v>
      </c>
      <c r="U37" s="136">
        <f t="shared" si="9"/>
        <v>6.5584400000000009</v>
      </c>
      <c r="V37" s="136">
        <f t="shared" si="9"/>
        <v>7.1142399999999997</v>
      </c>
      <c r="W37" s="136">
        <f t="shared" si="9"/>
        <v>7.725620000000001</v>
      </c>
      <c r="X37" s="136">
        <f t="shared" si="9"/>
        <v>8.3369999999999997</v>
      </c>
      <c r="Y37" s="136">
        <f t="shared" si="9"/>
        <v>8.9483800000000002</v>
      </c>
      <c r="Z37" s="136">
        <f t="shared" si="9"/>
        <v>9.4822224000000013</v>
      </c>
      <c r="AA37" s="136">
        <f t="shared" si="9"/>
        <v>10.088643600000001</v>
      </c>
      <c r="AB37" s="136">
        <f t="shared" si="9"/>
        <v>10.695064800000001</v>
      </c>
      <c r="AC37" s="136">
        <f t="shared" si="9"/>
        <v>11.301486000000001</v>
      </c>
      <c r="AD37" s="136">
        <f t="shared" si="9"/>
        <v>11.9079072</v>
      </c>
      <c r="AE37" s="136">
        <f t="shared" si="9"/>
        <v>12.5143284</v>
      </c>
      <c r="AF37" s="136">
        <f t="shared" si="9"/>
        <v>13.1207496</v>
      </c>
      <c r="AG37" s="136">
        <f t="shared" si="9"/>
        <v>13.7271708</v>
      </c>
      <c r="AH37" s="136">
        <f t="shared" si="9"/>
        <v>14.333591999999999</v>
      </c>
      <c r="AI37" s="136">
        <f t="shared" si="9"/>
        <v>14.940013199999999</v>
      </c>
      <c r="AJ37" s="136">
        <f t="shared" si="9"/>
        <v>15.546434400000001</v>
      </c>
      <c r="AK37" s="136">
        <f t="shared" si="9"/>
        <v>16.152855600000002</v>
      </c>
      <c r="AL37" s="136">
        <f t="shared" si="9"/>
        <v>16.703716847999999</v>
      </c>
      <c r="AM37" s="136">
        <f t="shared" si="9"/>
        <v>17.308127655</v>
      </c>
      <c r="AN37" s="136">
        <f t="shared" si="9"/>
        <v>17.912538462000001</v>
      </c>
      <c r="AO37" s="136">
        <f t="shared" si="9"/>
        <v>18.516949268999998</v>
      </c>
      <c r="AP37" s="136">
        <f t="shared" si="9"/>
        <v>19.121360076000002</v>
      </c>
      <c r="AQ37" s="136">
        <f t="shared" si="9"/>
        <v>19.725770883000003</v>
      </c>
      <c r="AR37" s="136">
        <f t="shared" si="9"/>
        <v>20.330181689999996</v>
      </c>
      <c r="AS37" s="136">
        <f t="shared" si="9"/>
        <v>20.934592496999997</v>
      </c>
      <c r="AT37" s="136">
        <f t="shared" si="9"/>
        <v>21.539003303999998</v>
      </c>
      <c r="AU37" s="136">
        <f t="shared" si="9"/>
        <v>22.143414110999998</v>
      </c>
      <c r="AV37" s="136">
        <f t="shared" si="9"/>
        <v>22.747824917999999</v>
      </c>
      <c r="AW37" s="136">
        <f t="shared" si="9"/>
        <v>23.352235725</v>
      </c>
      <c r="AX37" s="136">
        <f t="shared" si="9"/>
        <v>23.937670584659998</v>
      </c>
      <c r="AY37" s="136">
        <f t="shared" si="9"/>
        <v>24.541602640695</v>
      </c>
      <c r="AZ37" s="136">
        <f t="shared" si="9"/>
        <v>25.14553469673</v>
      </c>
      <c r="BA37" s="136">
        <f t="shared" si="9"/>
        <v>25.804369666950002</v>
      </c>
      <c r="BB37" s="136">
        <f t="shared" si="9"/>
        <v>26.463204637170001</v>
      </c>
      <c r="BC37" s="136">
        <f t="shared" si="9"/>
        <v>27.122039607390001</v>
      </c>
      <c r="BD37" s="136">
        <f t="shared" si="9"/>
        <v>27.780874577610003</v>
      </c>
      <c r="BE37" s="136">
        <f t="shared" si="9"/>
        <v>28.439709547829999</v>
      </c>
      <c r="BF37" s="136">
        <f t="shared" si="9"/>
        <v>29.098544518050002</v>
      </c>
      <c r="BG37" s="136">
        <f t="shared" si="9"/>
        <v>29.757379488270001</v>
      </c>
      <c r="BH37" s="136">
        <f t="shared" si="9"/>
        <v>30.416214458490003</v>
      </c>
      <c r="BI37" s="136">
        <f t="shared" si="9"/>
        <v>31.075049428709999</v>
      </c>
    </row>
    <row r="38" spans="1:61" outlineLevel="1" x14ac:dyDescent="0.25">
      <c r="A38" s="542" t="str">
        <f>A12</f>
        <v>&gt; Brands</v>
      </c>
      <c r="B38" s="117">
        <f>B25*$B$12</f>
        <v>2.1000000000000001E-2</v>
      </c>
      <c r="C38" s="117">
        <f t="shared" ref="C38:BH38" si="10">C25*$B$12</f>
        <v>4.2000000000000003E-2</v>
      </c>
      <c r="D38" s="117">
        <f t="shared" si="10"/>
        <v>6.3E-2</v>
      </c>
      <c r="E38" s="117">
        <f t="shared" si="10"/>
        <v>8.4000000000000005E-2</v>
      </c>
      <c r="F38" s="117">
        <f t="shared" si="10"/>
        <v>0.10500000000000001</v>
      </c>
      <c r="G38" s="117">
        <f t="shared" si="10"/>
        <v>0.126</v>
      </c>
      <c r="H38" s="117">
        <f t="shared" si="10"/>
        <v>0.14700000000000002</v>
      </c>
      <c r="I38" s="117">
        <f t="shared" si="10"/>
        <v>0.21000000000000002</v>
      </c>
      <c r="J38" s="117">
        <f t="shared" si="10"/>
        <v>0.29400000000000004</v>
      </c>
      <c r="K38" s="117">
        <f t="shared" si="10"/>
        <v>0.42000000000000004</v>
      </c>
      <c r="L38" s="117">
        <f t="shared" si="10"/>
        <v>0.58800000000000008</v>
      </c>
      <c r="M38" s="117">
        <f t="shared" si="10"/>
        <v>0.79800000000000015</v>
      </c>
      <c r="N38" s="117">
        <f t="shared" si="10"/>
        <v>0.93744000000000005</v>
      </c>
      <c r="O38" s="117">
        <f t="shared" si="10"/>
        <v>1.1327400000000001</v>
      </c>
      <c r="P38" s="117">
        <f t="shared" si="10"/>
        <v>1.3280399999999999</v>
      </c>
      <c r="Q38" s="117">
        <f t="shared" si="10"/>
        <v>1.5233399999999999</v>
      </c>
      <c r="R38" s="117">
        <f t="shared" si="10"/>
        <v>1.7186399999999999</v>
      </c>
      <c r="S38" s="117">
        <f t="shared" si="10"/>
        <v>1.9139400000000002</v>
      </c>
      <c r="T38" s="117">
        <f t="shared" si="10"/>
        <v>2.1092400000000002</v>
      </c>
      <c r="U38" s="117">
        <f t="shared" si="10"/>
        <v>2.3045399999999998</v>
      </c>
      <c r="V38" s="117">
        <f t="shared" si="10"/>
        <v>2.4998399999999998</v>
      </c>
      <c r="W38" s="117">
        <f t="shared" si="10"/>
        <v>2.7146700000000004</v>
      </c>
      <c r="X38" s="117">
        <f t="shared" si="10"/>
        <v>2.9295</v>
      </c>
      <c r="Y38" s="117">
        <f t="shared" si="10"/>
        <v>3.1443300000000001</v>
      </c>
      <c r="Z38" s="117">
        <f t="shared" si="10"/>
        <v>3.1576104000000003</v>
      </c>
      <c r="AA38" s="117">
        <f t="shared" si="10"/>
        <v>3.3595506000000004</v>
      </c>
      <c r="AB38" s="117">
        <f t="shared" si="10"/>
        <v>3.5614908000000001</v>
      </c>
      <c r="AC38" s="117">
        <f t="shared" si="10"/>
        <v>3.7634310000000006</v>
      </c>
      <c r="AD38" s="117">
        <f t="shared" si="10"/>
        <v>3.9653712000000003</v>
      </c>
      <c r="AE38" s="117">
        <f t="shared" si="10"/>
        <v>4.1673114</v>
      </c>
      <c r="AF38" s="117">
        <f t="shared" si="10"/>
        <v>4.3692516000000001</v>
      </c>
      <c r="AG38" s="117">
        <f t="shared" si="10"/>
        <v>4.5711918000000002</v>
      </c>
      <c r="AH38" s="117">
        <f t="shared" si="10"/>
        <v>4.7731320000000004</v>
      </c>
      <c r="AI38" s="117">
        <f t="shared" si="10"/>
        <v>4.9750721999999996</v>
      </c>
      <c r="AJ38" s="117">
        <f t="shared" si="10"/>
        <v>5.1770124000000006</v>
      </c>
      <c r="AK38" s="117">
        <f t="shared" si="10"/>
        <v>5.3789526000000007</v>
      </c>
      <c r="AL38" s="117">
        <f t="shared" si="10"/>
        <v>5.3576570879999998</v>
      </c>
      <c r="AM38" s="117">
        <f t="shared" si="10"/>
        <v>5.5515196800000002</v>
      </c>
      <c r="AN38" s="117">
        <f t="shared" si="10"/>
        <v>5.7453822720000005</v>
      </c>
      <c r="AO38" s="117">
        <f t="shared" si="10"/>
        <v>5.939244864</v>
      </c>
      <c r="AP38" s="117">
        <f t="shared" si="10"/>
        <v>6.1331074560000003</v>
      </c>
      <c r="AQ38" s="117">
        <f t="shared" si="10"/>
        <v>6.3269700480000006</v>
      </c>
      <c r="AR38" s="117">
        <f t="shared" si="10"/>
        <v>6.5208326400000001</v>
      </c>
      <c r="AS38" s="117">
        <f t="shared" si="10"/>
        <v>6.7146952320000004</v>
      </c>
      <c r="AT38" s="117">
        <f t="shared" si="10"/>
        <v>6.9085578240000007</v>
      </c>
      <c r="AU38" s="117">
        <f t="shared" si="10"/>
        <v>7.1024204160000002</v>
      </c>
      <c r="AV38" s="117">
        <f t="shared" si="10"/>
        <v>7.2962830079999996</v>
      </c>
      <c r="AW38" s="117">
        <f t="shared" si="10"/>
        <v>7.4901456</v>
      </c>
      <c r="AX38" s="117">
        <f t="shared" si="10"/>
        <v>7.453487946240001</v>
      </c>
      <c r="AY38" s="117">
        <f t="shared" si="10"/>
        <v>7.6415346604800005</v>
      </c>
      <c r="AZ38" s="117">
        <f t="shared" si="10"/>
        <v>7.8295813747200009</v>
      </c>
      <c r="BA38" s="117">
        <f t="shared" si="10"/>
        <v>8.0347232448000003</v>
      </c>
      <c r="BB38" s="117">
        <f t="shared" si="10"/>
        <v>8.2398651148800006</v>
      </c>
      <c r="BC38" s="117">
        <f t="shared" si="10"/>
        <v>8.4450069849600009</v>
      </c>
      <c r="BD38" s="117">
        <f t="shared" si="10"/>
        <v>8.6501488550400012</v>
      </c>
      <c r="BE38" s="117">
        <f t="shared" si="10"/>
        <v>8.8552907251199997</v>
      </c>
      <c r="BF38" s="117">
        <f t="shared" si="10"/>
        <v>9.0604325952000018</v>
      </c>
      <c r="BG38" s="117">
        <f t="shared" si="10"/>
        <v>9.2655744652800003</v>
      </c>
      <c r="BH38" s="117">
        <f t="shared" si="10"/>
        <v>9.4707163353600023</v>
      </c>
      <c r="BI38" s="117">
        <f>BI25*$B$12</f>
        <v>9.6758582054400009</v>
      </c>
    </row>
    <row r="39" spans="1:61" outlineLevel="1" x14ac:dyDescent="0.25">
      <c r="A39" s="542" t="str">
        <f>A13</f>
        <v>&gt; City halls</v>
      </c>
      <c r="B39" s="117">
        <f>B26*$B$13</f>
        <v>3.4999999999999996E-2</v>
      </c>
      <c r="C39" s="117">
        <f t="shared" ref="C39:BH39" si="11">C26*$B$13</f>
        <v>6.9999999999999993E-2</v>
      </c>
      <c r="D39" s="117">
        <f t="shared" si="11"/>
        <v>0.10499999999999998</v>
      </c>
      <c r="E39" s="117">
        <f t="shared" si="11"/>
        <v>0.13999999999999999</v>
      </c>
      <c r="F39" s="117">
        <f t="shared" si="11"/>
        <v>0.17500000000000002</v>
      </c>
      <c r="G39" s="117">
        <f t="shared" si="11"/>
        <v>0.20999999999999996</v>
      </c>
      <c r="H39" s="117">
        <f t="shared" si="11"/>
        <v>0.245</v>
      </c>
      <c r="I39" s="117">
        <f t="shared" si="11"/>
        <v>0.35000000000000003</v>
      </c>
      <c r="J39" s="117">
        <f t="shared" si="11"/>
        <v>0.49</v>
      </c>
      <c r="K39" s="117">
        <f t="shared" si="11"/>
        <v>0.70000000000000007</v>
      </c>
      <c r="L39" s="117">
        <f t="shared" si="11"/>
        <v>0.98</v>
      </c>
      <c r="M39" s="117">
        <f t="shared" si="11"/>
        <v>1.33</v>
      </c>
      <c r="N39" s="117">
        <f t="shared" si="11"/>
        <v>1.7303999999999999</v>
      </c>
      <c r="O39" s="117">
        <f t="shared" si="11"/>
        <v>2.0909</v>
      </c>
      <c r="P39" s="117">
        <f t="shared" si="11"/>
        <v>2.4514</v>
      </c>
      <c r="Q39" s="117">
        <f t="shared" si="11"/>
        <v>2.8119000000000001</v>
      </c>
      <c r="R39" s="117">
        <f t="shared" si="11"/>
        <v>3.1724000000000001</v>
      </c>
      <c r="S39" s="117">
        <f t="shared" si="11"/>
        <v>3.5329000000000002</v>
      </c>
      <c r="T39" s="117">
        <f t="shared" si="11"/>
        <v>3.8933999999999997</v>
      </c>
      <c r="U39" s="117">
        <f t="shared" si="11"/>
        <v>4.2539000000000007</v>
      </c>
      <c r="V39" s="117">
        <f t="shared" si="11"/>
        <v>4.6143999999999998</v>
      </c>
      <c r="W39" s="117">
        <f t="shared" si="11"/>
        <v>5.0109500000000002</v>
      </c>
      <c r="X39" s="117">
        <f t="shared" si="11"/>
        <v>5.4074999999999998</v>
      </c>
      <c r="Y39" s="117">
        <f t="shared" si="11"/>
        <v>5.8040500000000002</v>
      </c>
      <c r="Z39" s="117">
        <f t="shared" si="11"/>
        <v>6.3246120000000001</v>
      </c>
      <c r="AA39" s="117">
        <f t="shared" si="11"/>
        <v>6.7290930000000007</v>
      </c>
      <c r="AB39" s="117">
        <f t="shared" si="11"/>
        <v>7.1335740000000003</v>
      </c>
      <c r="AC39" s="117">
        <f t="shared" si="11"/>
        <v>7.5380549999999999</v>
      </c>
      <c r="AD39" s="117">
        <f t="shared" si="11"/>
        <v>7.9425360000000005</v>
      </c>
      <c r="AE39" s="117">
        <f t="shared" si="11"/>
        <v>8.3470169999999992</v>
      </c>
      <c r="AF39" s="117">
        <f t="shared" si="11"/>
        <v>8.7514979999999998</v>
      </c>
      <c r="AG39" s="117">
        <f t="shared" si="11"/>
        <v>9.1559790000000003</v>
      </c>
      <c r="AH39" s="117">
        <f t="shared" si="11"/>
        <v>9.5604599999999991</v>
      </c>
      <c r="AI39" s="117">
        <f t="shared" si="11"/>
        <v>9.9649409999999996</v>
      </c>
      <c r="AJ39" s="117">
        <f t="shared" si="11"/>
        <v>10.369422</v>
      </c>
      <c r="AK39" s="117">
        <f t="shared" si="11"/>
        <v>10.773903000000001</v>
      </c>
      <c r="AL39" s="117">
        <f t="shared" si="11"/>
        <v>11.346059759999999</v>
      </c>
      <c r="AM39" s="117">
        <f t="shared" si="11"/>
        <v>11.756607975</v>
      </c>
      <c r="AN39" s="117">
        <f t="shared" si="11"/>
        <v>12.16715619</v>
      </c>
      <c r="AO39" s="117">
        <f t="shared" si="11"/>
        <v>12.577704404999999</v>
      </c>
      <c r="AP39" s="117">
        <f t="shared" si="11"/>
        <v>12.988252620000001</v>
      </c>
      <c r="AQ39" s="117">
        <f t="shared" si="11"/>
        <v>13.398800835000001</v>
      </c>
      <c r="AR39" s="117">
        <f t="shared" si="11"/>
        <v>13.809349049999998</v>
      </c>
      <c r="AS39" s="117">
        <f t="shared" si="11"/>
        <v>14.219897264999998</v>
      </c>
      <c r="AT39" s="117">
        <f t="shared" si="11"/>
        <v>14.630445479999999</v>
      </c>
      <c r="AU39" s="117">
        <f t="shared" si="11"/>
        <v>15.040993694999997</v>
      </c>
      <c r="AV39" s="117">
        <f t="shared" si="11"/>
        <v>15.451541909999998</v>
      </c>
      <c r="AW39" s="117">
        <f t="shared" si="11"/>
        <v>15.862090124999998</v>
      </c>
      <c r="AX39" s="117">
        <f t="shared" si="11"/>
        <v>16.484182638419998</v>
      </c>
      <c r="AY39" s="117">
        <f t="shared" si="11"/>
        <v>16.900067980214999</v>
      </c>
      <c r="AZ39" s="117">
        <f t="shared" si="11"/>
        <v>17.315953322009999</v>
      </c>
      <c r="BA39" s="117">
        <f t="shared" si="11"/>
        <v>17.76964642215</v>
      </c>
      <c r="BB39" s="117">
        <f t="shared" si="11"/>
        <v>18.223339522290001</v>
      </c>
      <c r="BC39" s="117">
        <f t="shared" si="11"/>
        <v>18.677032622430001</v>
      </c>
      <c r="BD39" s="117">
        <f t="shared" si="11"/>
        <v>19.130725722570002</v>
      </c>
      <c r="BE39" s="117">
        <f t="shared" si="11"/>
        <v>19.584418822709999</v>
      </c>
      <c r="BF39" s="117">
        <f t="shared" si="11"/>
        <v>20.03811192285</v>
      </c>
      <c r="BG39" s="117">
        <f t="shared" si="11"/>
        <v>20.49180502299</v>
      </c>
      <c r="BH39" s="117">
        <f t="shared" si="11"/>
        <v>20.945498123130001</v>
      </c>
      <c r="BI39" s="117">
        <f>BI26*$B$13</f>
        <v>21.399191223269998</v>
      </c>
    </row>
    <row r="40" spans="1:61" s="2" customFormat="1" outlineLevel="1" x14ac:dyDescent="0.25">
      <c r="A40" s="17" t="s">
        <v>590</v>
      </c>
      <c r="B40" s="528">
        <f>ROUND(B41+B42,0)</f>
        <v>0</v>
      </c>
      <c r="C40" s="528">
        <f t="shared" ref="C40:BI40" si="12">ROUND(C41+C42,0)</f>
        <v>0</v>
      </c>
      <c r="D40" s="528">
        <f t="shared" si="12"/>
        <v>0</v>
      </c>
      <c r="E40" s="528">
        <f t="shared" si="12"/>
        <v>0</v>
      </c>
      <c r="F40" s="528">
        <f t="shared" si="12"/>
        <v>0</v>
      </c>
      <c r="G40" s="528">
        <f t="shared" si="12"/>
        <v>0</v>
      </c>
      <c r="H40" s="528">
        <f t="shared" si="12"/>
        <v>0</v>
      </c>
      <c r="I40" s="528">
        <f t="shared" si="12"/>
        <v>1</v>
      </c>
      <c r="J40" s="528">
        <f t="shared" si="12"/>
        <v>2</v>
      </c>
      <c r="K40" s="528">
        <f t="shared" si="12"/>
        <v>2</v>
      </c>
      <c r="L40" s="528">
        <f t="shared" si="12"/>
        <v>3</v>
      </c>
      <c r="M40" s="528">
        <f t="shared" si="12"/>
        <v>5</v>
      </c>
      <c r="N40" s="528">
        <f t="shared" si="12"/>
        <v>5</v>
      </c>
      <c r="O40" s="528">
        <f t="shared" si="12"/>
        <v>6</v>
      </c>
      <c r="P40" s="528">
        <f t="shared" si="12"/>
        <v>8</v>
      </c>
      <c r="Q40" s="528">
        <f t="shared" si="12"/>
        <v>9</v>
      </c>
      <c r="R40" s="528">
        <f t="shared" si="12"/>
        <v>9</v>
      </c>
      <c r="S40" s="528">
        <f t="shared" si="12"/>
        <v>11</v>
      </c>
      <c r="T40" s="528">
        <f t="shared" si="12"/>
        <v>12</v>
      </c>
      <c r="U40" s="528">
        <f t="shared" si="12"/>
        <v>14</v>
      </c>
      <c r="V40" s="528">
        <f t="shared" si="12"/>
        <v>14</v>
      </c>
      <c r="W40" s="528">
        <f t="shared" si="12"/>
        <v>15</v>
      </c>
      <c r="X40" s="528">
        <f t="shared" si="12"/>
        <v>17</v>
      </c>
      <c r="Y40" s="528">
        <f t="shared" si="12"/>
        <v>18</v>
      </c>
      <c r="Z40" s="528">
        <f t="shared" si="12"/>
        <v>19</v>
      </c>
      <c r="AA40" s="528">
        <f t="shared" si="12"/>
        <v>20</v>
      </c>
      <c r="AB40" s="528">
        <f t="shared" si="12"/>
        <v>21</v>
      </c>
      <c r="AC40" s="528">
        <f t="shared" si="12"/>
        <v>23</v>
      </c>
      <c r="AD40" s="528">
        <f t="shared" si="12"/>
        <v>24</v>
      </c>
      <c r="AE40" s="528">
        <f t="shared" si="12"/>
        <v>25</v>
      </c>
      <c r="AF40" s="528">
        <f t="shared" si="12"/>
        <v>27</v>
      </c>
      <c r="AG40" s="528">
        <f t="shared" si="12"/>
        <v>27</v>
      </c>
      <c r="AH40" s="528">
        <f t="shared" si="12"/>
        <v>29</v>
      </c>
      <c r="AI40" s="528">
        <f t="shared" si="12"/>
        <v>30</v>
      </c>
      <c r="AJ40" s="528">
        <f t="shared" si="12"/>
        <v>31</v>
      </c>
      <c r="AK40" s="528">
        <f t="shared" si="12"/>
        <v>33</v>
      </c>
      <c r="AL40" s="528">
        <f t="shared" si="12"/>
        <v>34</v>
      </c>
      <c r="AM40" s="528">
        <f t="shared" si="12"/>
        <v>35</v>
      </c>
      <c r="AN40" s="528">
        <f t="shared" si="12"/>
        <v>35</v>
      </c>
      <c r="AO40" s="528">
        <f t="shared" si="12"/>
        <v>37</v>
      </c>
      <c r="AP40" s="528">
        <f t="shared" si="12"/>
        <v>38</v>
      </c>
      <c r="AQ40" s="528">
        <f t="shared" si="12"/>
        <v>40</v>
      </c>
      <c r="AR40" s="528">
        <f t="shared" si="12"/>
        <v>41</v>
      </c>
      <c r="AS40" s="528">
        <f t="shared" si="12"/>
        <v>41</v>
      </c>
      <c r="AT40" s="528">
        <f t="shared" si="12"/>
        <v>43</v>
      </c>
      <c r="AU40" s="528">
        <f t="shared" si="12"/>
        <v>44</v>
      </c>
      <c r="AV40" s="528">
        <f t="shared" si="12"/>
        <v>46</v>
      </c>
      <c r="AW40" s="528">
        <f t="shared" si="12"/>
        <v>47</v>
      </c>
      <c r="AX40" s="528">
        <f t="shared" si="12"/>
        <v>48</v>
      </c>
      <c r="AY40" s="528">
        <f t="shared" si="12"/>
        <v>49</v>
      </c>
      <c r="AZ40" s="528">
        <f t="shared" si="12"/>
        <v>51</v>
      </c>
      <c r="BA40" s="528">
        <f t="shared" si="12"/>
        <v>52</v>
      </c>
      <c r="BB40" s="528">
        <f t="shared" si="12"/>
        <v>52</v>
      </c>
      <c r="BC40" s="528">
        <f t="shared" si="12"/>
        <v>54</v>
      </c>
      <c r="BD40" s="528">
        <f t="shared" si="12"/>
        <v>55</v>
      </c>
      <c r="BE40" s="528">
        <f t="shared" si="12"/>
        <v>57</v>
      </c>
      <c r="BF40" s="528">
        <f t="shared" si="12"/>
        <v>58</v>
      </c>
      <c r="BG40" s="528">
        <f t="shared" si="12"/>
        <v>60</v>
      </c>
      <c r="BH40" s="528">
        <f t="shared" si="12"/>
        <v>61</v>
      </c>
      <c r="BI40" s="528">
        <f t="shared" si="12"/>
        <v>62</v>
      </c>
    </row>
    <row r="41" spans="1:61" outlineLevel="1" x14ac:dyDescent="0.25">
      <c r="A41" s="542" t="str">
        <f>A38</f>
        <v>&gt; Brands</v>
      </c>
      <c r="B41" s="529">
        <f>ROUND(B38*$B$14,0)</f>
        <v>0</v>
      </c>
      <c r="C41" s="529">
        <f t="shared" ref="C41:BI41" si="13">ROUND(C38*$B$14,0)</f>
        <v>0</v>
      </c>
      <c r="D41" s="529">
        <f t="shared" si="13"/>
        <v>0</v>
      </c>
      <c r="E41" s="529">
        <f t="shared" si="13"/>
        <v>0</v>
      </c>
      <c r="F41" s="529">
        <f t="shared" si="13"/>
        <v>0</v>
      </c>
      <c r="G41" s="529">
        <f t="shared" si="13"/>
        <v>0</v>
      </c>
      <c r="H41" s="529">
        <f t="shared" si="13"/>
        <v>0</v>
      </c>
      <c r="I41" s="529">
        <f t="shared" si="13"/>
        <v>0</v>
      </c>
      <c r="J41" s="529">
        <f t="shared" si="13"/>
        <v>1</v>
      </c>
      <c r="K41" s="529">
        <f t="shared" si="13"/>
        <v>1</v>
      </c>
      <c r="L41" s="529">
        <f t="shared" si="13"/>
        <v>1</v>
      </c>
      <c r="M41" s="529">
        <f t="shared" si="13"/>
        <v>2</v>
      </c>
      <c r="N41" s="529">
        <f t="shared" si="13"/>
        <v>2</v>
      </c>
      <c r="O41" s="529">
        <f t="shared" si="13"/>
        <v>2</v>
      </c>
      <c r="P41" s="529">
        <f t="shared" si="13"/>
        <v>3</v>
      </c>
      <c r="Q41" s="529">
        <f t="shared" si="13"/>
        <v>3</v>
      </c>
      <c r="R41" s="529">
        <f t="shared" si="13"/>
        <v>3</v>
      </c>
      <c r="S41" s="529">
        <f t="shared" si="13"/>
        <v>4</v>
      </c>
      <c r="T41" s="529">
        <f t="shared" si="13"/>
        <v>4</v>
      </c>
      <c r="U41" s="529">
        <f t="shared" si="13"/>
        <v>5</v>
      </c>
      <c r="V41" s="529">
        <f t="shared" si="13"/>
        <v>5</v>
      </c>
      <c r="W41" s="529">
        <f t="shared" si="13"/>
        <v>5</v>
      </c>
      <c r="X41" s="529">
        <f t="shared" si="13"/>
        <v>6</v>
      </c>
      <c r="Y41" s="529">
        <f t="shared" si="13"/>
        <v>6</v>
      </c>
      <c r="Z41" s="529">
        <f t="shared" si="13"/>
        <v>6</v>
      </c>
      <c r="AA41" s="529">
        <f t="shared" si="13"/>
        <v>7</v>
      </c>
      <c r="AB41" s="529">
        <f t="shared" si="13"/>
        <v>7</v>
      </c>
      <c r="AC41" s="529">
        <f t="shared" si="13"/>
        <v>8</v>
      </c>
      <c r="AD41" s="529">
        <f t="shared" si="13"/>
        <v>8</v>
      </c>
      <c r="AE41" s="529">
        <f t="shared" si="13"/>
        <v>8</v>
      </c>
      <c r="AF41" s="529">
        <f t="shared" si="13"/>
        <v>9</v>
      </c>
      <c r="AG41" s="529">
        <f t="shared" si="13"/>
        <v>9</v>
      </c>
      <c r="AH41" s="529">
        <f t="shared" si="13"/>
        <v>10</v>
      </c>
      <c r="AI41" s="529">
        <f t="shared" si="13"/>
        <v>10</v>
      </c>
      <c r="AJ41" s="529">
        <f t="shared" si="13"/>
        <v>10</v>
      </c>
      <c r="AK41" s="529">
        <f t="shared" si="13"/>
        <v>11</v>
      </c>
      <c r="AL41" s="529">
        <f t="shared" si="13"/>
        <v>11</v>
      </c>
      <c r="AM41" s="529">
        <f t="shared" si="13"/>
        <v>11</v>
      </c>
      <c r="AN41" s="529">
        <f t="shared" si="13"/>
        <v>11</v>
      </c>
      <c r="AO41" s="529">
        <f t="shared" si="13"/>
        <v>12</v>
      </c>
      <c r="AP41" s="529">
        <f t="shared" si="13"/>
        <v>12</v>
      </c>
      <c r="AQ41" s="529">
        <f t="shared" si="13"/>
        <v>13</v>
      </c>
      <c r="AR41" s="529">
        <f t="shared" si="13"/>
        <v>13</v>
      </c>
      <c r="AS41" s="529">
        <f t="shared" si="13"/>
        <v>13</v>
      </c>
      <c r="AT41" s="529">
        <f t="shared" si="13"/>
        <v>14</v>
      </c>
      <c r="AU41" s="529">
        <f t="shared" si="13"/>
        <v>14</v>
      </c>
      <c r="AV41" s="529">
        <f t="shared" si="13"/>
        <v>15</v>
      </c>
      <c r="AW41" s="529">
        <f t="shared" si="13"/>
        <v>15</v>
      </c>
      <c r="AX41" s="529">
        <f t="shared" si="13"/>
        <v>15</v>
      </c>
      <c r="AY41" s="529">
        <f t="shared" si="13"/>
        <v>15</v>
      </c>
      <c r="AZ41" s="529">
        <f t="shared" si="13"/>
        <v>16</v>
      </c>
      <c r="BA41" s="529">
        <f t="shared" si="13"/>
        <v>16</v>
      </c>
      <c r="BB41" s="529">
        <f t="shared" si="13"/>
        <v>16</v>
      </c>
      <c r="BC41" s="529">
        <f t="shared" si="13"/>
        <v>17</v>
      </c>
      <c r="BD41" s="529">
        <f t="shared" si="13"/>
        <v>17</v>
      </c>
      <c r="BE41" s="529">
        <f t="shared" si="13"/>
        <v>18</v>
      </c>
      <c r="BF41" s="529">
        <f t="shared" si="13"/>
        <v>18</v>
      </c>
      <c r="BG41" s="529">
        <f t="shared" si="13"/>
        <v>19</v>
      </c>
      <c r="BH41" s="529">
        <f t="shared" si="13"/>
        <v>19</v>
      </c>
      <c r="BI41" s="529">
        <f t="shared" si="13"/>
        <v>19</v>
      </c>
    </row>
    <row r="42" spans="1:61" outlineLevel="1" x14ac:dyDescent="0.25">
      <c r="A42" s="542" t="str">
        <f>A39</f>
        <v>&gt; City halls</v>
      </c>
      <c r="B42" s="529">
        <f>ROUND(B39*$B$14,0)</f>
        <v>0</v>
      </c>
      <c r="C42" s="529">
        <f t="shared" ref="C42:BI42" si="14">ROUND(C39*$B$14,0)</f>
        <v>0</v>
      </c>
      <c r="D42" s="529">
        <f t="shared" si="14"/>
        <v>0</v>
      </c>
      <c r="E42" s="529">
        <f t="shared" si="14"/>
        <v>0</v>
      </c>
      <c r="F42" s="529">
        <f t="shared" si="14"/>
        <v>0</v>
      </c>
      <c r="G42" s="529">
        <f t="shared" si="14"/>
        <v>0</v>
      </c>
      <c r="H42" s="529">
        <f t="shared" si="14"/>
        <v>0</v>
      </c>
      <c r="I42" s="529">
        <f t="shared" si="14"/>
        <v>1</v>
      </c>
      <c r="J42" s="529">
        <f t="shared" si="14"/>
        <v>1</v>
      </c>
      <c r="K42" s="529">
        <f t="shared" si="14"/>
        <v>1</v>
      </c>
      <c r="L42" s="529">
        <f t="shared" si="14"/>
        <v>2</v>
      </c>
      <c r="M42" s="529">
        <f t="shared" si="14"/>
        <v>3</v>
      </c>
      <c r="N42" s="529">
        <f t="shared" si="14"/>
        <v>3</v>
      </c>
      <c r="O42" s="529">
        <f t="shared" si="14"/>
        <v>4</v>
      </c>
      <c r="P42" s="529">
        <f t="shared" si="14"/>
        <v>5</v>
      </c>
      <c r="Q42" s="529">
        <f t="shared" si="14"/>
        <v>6</v>
      </c>
      <c r="R42" s="529">
        <f t="shared" si="14"/>
        <v>6</v>
      </c>
      <c r="S42" s="529">
        <f t="shared" si="14"/>
        <v>7</v>
      </c>
      <c r="T42" s="529">
        <f t="shared" si="14"/>
        <v>8</v>
      </c>
      <c r="U42" s="529">
        <f t="shared" si="14"/>
        <v>9</v>
      </c>
      <c r="V42" s="529">
        <f t="shared" si="14"/>
        <v>9</v>
      </c>
      <c r="W42" s="529">
        <f t="shared" si="14"/>
        <v>10</v>
      </c>
      <c r="X42" s="529">
        <f t="shared" si="14"/>
        <v>11</v>
      </c>
      <c r="Y42" s="529">
        <f t="shared" si="14"/>
        <v>12</v>
      </c>
      <c r="Z42" s="529">
        <f t="shared" si="14"/>
        <v>13</v>
      </c>
      <c r="AA42" s="529">
        <f t="shared" si="14"/>
        <v>13</v>
      </c>
      <c r="AB42" s="529">
        <f t="shared" si="14"/>
        <v>14</v>
      </c>
      <c r="AC42" s="529">
        <f t="shared" si="14"/>
        <v>15</v>
      </c>
      <c r="AD42" s="529">
        <f t="shared" si="14"/>
        <v>16</v>
      </c>
      <c r="AE42" s="529">
        <f t="shared" si="14"/>
        <v>17</v>
      </c>
      <c r="AF42" s="529">
        <f t="shared" si="14"/>
        <v>18</v>
      </c>
      <c r="AG42" s="529">
        <f t="shared" si="14"/>
        <v>18</v>
      </c>
      <c r="AH42" s="529">
        <f t="shared" si="14"/>
        <v>19</v>
      </c>
      <c r="AI42" s="529">
        <f t="shared" si="14"/>
        <v>20</v>
      </c>
      <c r="AJ42" s="529">
        <f t="shared" si="14"/>
        <v>21</v>
      </c>
      <c r="AK42" s="529">
        <f t="shared" si="14"/>
        <v>22</v>
      </c>
      <c r="AL42" s="529">
        <f t="shared" si="14"/>
        <v>23</v>
      </c>
      <c r="AM42" s="529">
        <f t="shared" si="14"/>
        <v>24</v>
      </c>
      <c r="AN42" s="529">
        <f t="shared" si="14"/>
        <v>24</v>
      </c>
      <c r="AO42" s="529">
        <f t="shared" si="14"/>
        <v>25</v>
      </c>
      <c r="AP42" s="529">
        <f t="shared" si="14"/>
        <v>26</v>
      </c>
      <c r="AQ42" s="529">
        <f t="shared" si="14"/>
        <v>27</v>
      </c>
      <c r="AR42" s="529">
        <f t="shared" si="14"/>
        <v>28</v>
      </c>
      <c r="AS42" s="529">
        <f t="shared" si="14"/>
        <v>28</v>
      </c>
      <c r="AT42" s="529">
        <f t="shared" si="14"/>
        <v>29</v>
      </c>
      <c r="AU42" s="529">
        <f t="shared" si="14"/>
        <v>30</v>
      </c>
      <c r="AV42" s="529">
        <f t="shared" si="14"/>
        <v>31</v>
      </c>
      <c r="AW42" s="529">
        <f t="shared" si="14"/>
        <v>32</v>
      </c>
      <c r="AX42" s="529">
        <f t="shared" si="14"/>
        <v>33</v>
      </c>
      <c r="AY42" s="529">
        <f t="shared" si="14"/>
        <v>34</v>
      </c>
      <c r="AZ42" s="529">
        <f t="shared" si="14"/>
        <v>35</v>
      </c>
      <c r="BA42" s="529">
        <f t="shared" si="14"/>
        <v>36</v>
      </c>
      <c r="BB42" s="529">
        <f t="shared" si="14"/>
        <v>36</v>
      </c>
      <c r="BC42" s="529">
        <f t="shared" si="14"/>
        <v>37</v>
      </c>
      <c r="BD42" s="529">
        <f t="shared" si="14"/>
        <v>38</v>
      </c>
      <c r="BE42" s="529">
        <f t="shared" si="14"/>
        <v>39</v>
      </c>
      <c r="BF42" s="529">
        <f t="shared" si="14"/>
        <v>40</v>
      </c>
      <c r="BG42" s="529">
        <f t="shared" si="14"/>
        <v>41</v>
      </c>
      <c r="BH42" s="529">
        <f t="shared" si="14"/>
        <v>42</v>
      </c>
      <c r="BI42" s="529">
        <f t="shared" si="14"/>
        <v>43</v>
      </c>
    </row>
    <row r="43" spans="1:61" outlineLevel="1" x14ac:dyDescent="0.25">
      <c r="A43" s="17" t="s">
        <v>591</v>
      </c>
      <c r="B43" s="530">
        <f>B44+B45</f>
        <v>0</v>
      </c>
      <c r="C43" s="530">
        <f t="shared" ref="C43:BI43" si="15">C44+C45</f>
        <v>0</v>
      </c>
      <c r="D43" s="530">
        <f t="shared" si="15"/>
        <v>0</v>
      </c>
      <c r="E43" s="530">
        <f t="shared" si="15"/>
        <v>0</v>
      </c>
      <c r="F43" s="530">
        <f t="shared" si="15"/>
        <v>0</v>
      </c>
      <c r="G43" s="530">
        <f t="shared" si="15"/>
        <v>0</v>
      </c>
      <c r="H43" s="530">
        <f t="shared" si="15"/>
        <v>0</v>
      </c>
      <c r="I43" s="530">
        <f t="shared" si="15"/>
        <v>400</v>
      </c>
      <c r="J43" s="530">
        <f t="shared" si="15"/>
        <v>800</v>
      </c>
      <c r="K43" s="530">
        <f t="shared" si="15"/>
        <v>800</v>
      </c>
      <c r="L43" s="530">
        <f t="shared" si="15"/>
        <v>1200</v>
      </c>
      <c r="M43" s="530">
        <f t="shared" si="15"/>
        <v>2000</v>
      </c>
      <c r="N43" s="530">
        <f t="shared" si="15"/>
        <v>2000</v>
      </c>
      <c r="O43" s="530">
        <f t="shared" si="15"/>
        <v>2400</v>
      </c>
      <c r="P43" s="530">
        <f t="shared" si="15"/>
        <v>3200</v>
      </c>
      <c r="Q43" s="530">
        <f t="shared" si="15"/>
        <v>3600</v>
      </c>
      <c r="R43" s="530">
        <f t="shared" si="15"/>
        <v>3600</v>
      </c>
      <c r="S43" s="530">
        <f t="shared" si="15"/>
        <v>4400</v>
      </c>
      <c r="T43" s="530">
        <f t="shared" si="15"/>
        <v>4800</v>
      </c>
      <c r="U43" s="530">
        <f t="shared" si="15"/>
        <v>5600</v>
      </c>
      <c r="V43" s="530">
        <f t="shared" si="15"/>
        <v>5600</v>
      </c>
      <c r="W43" s="530">
        <f t="shared" si="15"/>
        <v>6000</v>
      </c>
      <c r="X43" s="530">
        <f t="shared" si="15"/>
        <v>6800</v>
      </c>
      <c r="Y43" s="530">
        <f t="shared" si="15"/>
        <v>7200</v>
      </c>
      <c r="Z43" s="530">
        <f t="shared" si="15"/>
        <v>7600</v>
      </c>
      <c r="AA43" s="530">
        <f t="shared" si="15"/>
        <v>8000</v>
      </c>
      <c r="AB43" s="530">
        <f t="shared" si="15"/>
        <v>8400</v>
      </c>
      <c r="AC43" s="530">
        <f t="shared" si="15"/>
        <v>9200</v>
      </c>
      <c r="AD43" s="530">
        <f t="shared" si="15"/>
        <v>9600</v>
      </c>
      <c r="AE43" s="530">
        <f t="shared" si="15"/>
        <v>10000</v>
      </c>
      <c r="AF43" s="530">
        <f t="shared" si="15"/>
        <v>10800</v>
      </c>
      <c r="AG43" s="530">
        <f t="shared" si="15"/>
        <v>10800</v>
      </c>
      <c r="AH43" s="530">
        <f t="shared" si="15"/>
        <v>11600</v>
      </c>
      <c r="AI43" s="530">
        <f t="shared" si="15"/>
        <v>12000</v>
      </c>
      <c r="AJ43" s="530">
        <f t="shared" si="15"/>
        <v>12400</v>
      </c>
      <c r="AK43" s="530">
        <f t="shared" si="15"/>
        <v>13200</v>
      </c>
      <c r="AL43" s="530">
        <f t="shared" si="15"/>
        <v>13600</v>
      </c>
      <c r="AM43" s="530">
        <f t="shared" si="15"/>
        <v>14000</v>
      </c>
      <c r="AN43" s="530">
        <f t="shared" si="15"/>
        <v>14000</v>
      </c>
      <c r="AO43" s="530">
        <f t="shared" si="15"/>
        <v>14800</v>
      </c>
      <c r="AP43" s="530">
        <f t="shared" si="15"/>
        <v>15200</v>
      </c>
      <c r="AQ43" s="530">
        <f t="shared" si="15"/>
        <v>16000</v>
      </c>
      <c r="AR43" s="530">
        <f t="shared" si="15"/>
        <v>16400</v>
      </c>
      <c r="AS43" s="530">
        <f t="shared" si="15"/>
        <v>16400</v>
      </c>
      <c r="AT43" s="530">
        <f t="shared" si="15"/>
        <v>17200</v>
      </c>
      <c r="AU43" s="530">
        <f t="shared" si="15"/>
        <v>17600</v>
      </c>
      <c r="AV43" s="530">
        <f t="shared" si="15"/>
        <v>18400</v>
      </c>
      <c r="AW43" s="530">
        <f t="shared" si="15"/>
        <v>18800</v>
      </c>
      <c r="AX43" s="530">
        <f t="shared" si="15"/>
        <v>19200</v>
      </c>
      <c r="AY43" s="530">
        <f t="shared" si="15"/>
        <v>19600</v>
      </c>
      <c r="AZ43" s="530">
        <f t="shared" si="15"/>
        <v>20400</v>
      </c>
      <c r="BA43" s="530">
        <f t="shared" si="15"/>
        <v>20800</v>
      </c>
      <c r="BB43" s="530">
        <f t="shared" si="15"/>
        <v>20800</v>
      </c>
      <c r="BC43" s="530">
        <f t="shared" si="15"/>
        <v>21600</v>
      </c>
      <c r="BD43" s="530">
        <f t="shared" si="15"/>
        <v>22000</v>
      </c>
      <c r="BE43" s="530">
        <f t="shared" si="15"/>
        <v>22800</v>
      </c>
      <c r="BF43" s="530">
        <f t="shared" si="15"/>
        <v>23200</v>
      </c>
      <c r="BG43" s="530">
        <f t="shared" si="15"/>
        <v>24000</v>
      </c>
      <c r="BH43" s="530">
        <f t="shared" si="15"/>
        <v>24400</v>
      </c>
      <c r="BI43" s="530">
        <f t="shared" si="15"/>
        <v>24800</v>
      </c>
    </row>
    <row r="44" spans="1:61" outlineLevel="1" x14ac:dyDescent="0.25">
      <c r="A44" s="542" t="str">
        <f>A41</f>
        <v>&gt; Brands</v>
      </c>
      <c r="B44" s="280">
        <f>B41*$B$15</f>
        <v>0</v>
      </c>
      <c r="C44" s="280">
        <f t="shared" ref="C44:BI44" si="16">C41*$B$15</f>
        <v>0</v>
      </c>
      <c r="D44" s="280">
        <f t="shared" si="16"/>
        <v>0</v>
      </c>
      <c r="E44" s="280">
        <f t="shared" si="16"/>
        <v>0</v>
      </c>
      <c r="F44" s="280">
        <f t="shared" si="16"/>
        <v>0</v>
      </c>
      <c r="G44" s="280">
        <f t="shared" si="16"/>
        <v>0</v>
      </c>
      <c r="H44" s="280">
        <f t="shared" si="16"/>
        <v>0</v>
      </c>
      <c r="I44" s="280">
        <f t="shared" si="16"/>
        <v>0</v>
      </c>
      <c r="J44" s="280">
        <f t="shared" si="16"/>
        <v>400</v>
      </c>
      <c r="K44" s="280">
        <f t="shared" si="16"/>
        <v>400</v>
      </c>
      <c r="L44" s="280">
        <f t="shared" si="16"/>
        <v>400</v>
      </c>
      <c r="M44" s="280">
        <f t="shared" si="16"/>
        <v>800</v>
      </c>
      <c r="N44" s="280">
        <f t="shared" si="16"/>
        <v>800</v>
      </c>
      <c r="O44" s="280">
        <f t="shared" si="16"/>
        <v>800</v>
      </c>
      <c r="P44" s="280">
        <f t="shared" si="16"/>
        <v>1200</v>
      </c>
      <c r="Q44" s="280">
        <f t="shared" si="16"/>
        <v>1200</v>
      </c>
      <c r="R44" s="280">
        <f t="shared" si="16"/>
        <v>1200</v>
      </c>
      <c r="S44" s="280">
        <f t="shared" si="16"/>
        <v>1600</v>
      </c>
      <c r="T44" s="280">
        <f t="shared" si="16"/>
        <v>1600</v>
      </c>
      <c r="U44" s="280">
        <f t="shared" si="16"/>
        <v>2000</v>
      </c>
      <c r="V44" s="280">
        <f t="shared" si="16"/>
        <v>2000</v>
      </c>
      <c r="W44" s="280">
        <f t="shared" si="16"/>
        <v>2000</v>
      </c>
      <c r="X44" s="280">
        <f t="shared" si="16"/>
        <v>2400</v>
      </c>
      <c r="Y44" s="280">
        <f t="shared" si="16"/>
        <v>2400</v>
      </c>
      <c r="Z44" s="280">
        <f t="shared" si="16"/>
        <v>2400</v>
      </c>
      <c r="AA44" s="280">
        <f t="shared" si="16"/>
        <v>2800</v>
      </c>
      <c r="AB44" s="280">
        <f t="shared" si="16"/>
        <v>2800</v>
      </c>
      <c r="AC44" s="280">
        <f t="shared" si="16"/>
        <v>3200</v>
      </c>
      <c r="AD44" s="280">
        <f t="shared" si="16"/>
        <v>3200</v>
      </c>
      <c r="AE44" s="280">
        <f t="shared" si="16"/>
        <v>3200</v>
      </c>
      <c r="AF44" s="280">
        <f t="shared" si="16"/>
        <v>3600</v>
      </c>
      <c r="AG44" s="280">
        <f t="shared" si="16"/>
        <v>3600</v>
      </c>
      <c r="AH44" s="280">
        <f t="shared" si="16"/>
        <v>4000</v>
      </c>
      <c r="AI44" s="280">
        <f t="shared" si="16"/>
        <v>4000</v>
      </c>
      <c r="AJ44" s="280">
        <f t="shared" si="16"/>
        <v>4000</v>
      </c>
      <c r="AK44" s="280">
        <f t="shared" si="16"/>
        <v>4400</v>
      </c>
      <c r="AL44" s="280">
        <f t="shared" si="16"/>
        <v>4400</v>
      </c>
      <c r="AM44" s="280">
        <f t="shared" si="16"/>
        <v>4400</v>
      </c>
      <c r="AN44" s="280">
        <f t="shared" si="16"/>
        <v>4400</v>
      </c>
      <c r="AO44" s="280">
        <f t="shared" si="16"/>
        <v>4800</v>
      </c>
      <c r="AP44" s="280">
        <f t="shared" si="16"/>
        <v>4800</v>
      </c>
      <c r="AQ44" s="280">
        <f t="shared" si="16"/>
        <v>5200</v>
      </c>
      <c r="AR44" s="280">
        <f t="shared" si="16"/>
        <v>5200</v>
      </c>
      <c r="AS44" s="280">
        <f t="shared" si="16"/>
        <v>5200</v>
      </c>
      <c r="AT44" s="280">
        <f t="shared" si="16"/>
        <v>5600</v>
      </c>
      <c r="AU44" s="280">
        <f t="shared" si="16"/>
        <v>5600</v>
      </c>
      <c r="AV44" s="280">
        <f t="shared" si="16"/>
        <v>6000</v>
      </c>
      <c r="AW44" s="280">
        <f t="shared" si="16"/>
        <v>6000</v>
      </c>
      <c r="AX44" s="280">
        <f t="shared" si="16"/>
        <v>6000</v>
      </c>
      <c r="AY44" s="280">
        <f t="shared" si="16"/>
        <v>6000</v>
      </c>
      <c r="AZ44" s="280">
        <f t="shared" si="16"/>
        <v>6400</v>
      </c>
      <c r="BA44" s="280">
        <f t="shared" si="16"/>
        <v>6400</v>
      </c>
      <c r="BB44" s="280">
        <f t="shared" si="16"/>
        <v>6400</v>
      </c>
      <c r="BC44" s="280">
        <f t="shared" si="16"/>
        <v>6800</v>
      </c>
      <c r="BD44" s="280">
        <f t="shared" si="16"/>
        <v>6800</v>
      </c>
      <c r="BE44" s="280">
        <f t="shared" si="16"/>
        <v>7200</v>
      </c>
      <c r="BF44" s="280">
        <f t="shared" si="16"/>
        <v>7200</v>
      </c>
      <c r="BG44" s="280">
        <f t="shared" si="16"/>
        <v>7600</v>
      </c>
      <c r="BH44" s="280">
        <f t="shared" si="16"/>
        <v>7600</v>
      </c>
      <c r="BI44" s="280">
        <f t="shared" si="16"/>
        <v>7600</v>
      </c>
    </row>
    <row r="45" spans="1:61" outlineLevel="1" x14ac:dyDescent="0.25">
      <c r="A45" s="542" t="str">
        <f>A42</f>
        <v>&gt; City halls</v>
      </c>
      <c r="B45" s="280">
        <f>B42*$B$15</f>
        <v>0</v>
      </c>
      <c r="C45" s="280">
        <f t="shared" ref="C45:BI45" si="17">C42*$B$15</f>
        <v>0</v>
      </c>
      <c r="D45" s="280">
        <f t="shared" si="17"/>
        <v>0</v>
      </c>
      <c r="E45" s="280">
        <f t="shared" si="17"/>
        <v>0</v>
      </c>
      <c r="F45" s="280">
        <f t="shared" si="17"/>
        <v>0</v>
      </c>
      <c r="G45" s="280">
        <f t="shared" si="17"/>
        <v>0</v>
      </c>
      <c r="H45" s="280">
        <f t="shared" si="17"/>
        <v>0</v>
      </c>
      <c r="I45" s="280">
        <f t="shared" si="17"/>
        <v>400</v>
      </c>
      <c r="J45" s="280">
        <f t="shared" si="17"/>
        <v>400</v>
      </c>
      <c r="K45" s="280">
        <f t="shared" si="17"/>
        <v>400</v>
      </c>
      <c r="L45" s="280">
        <f t="shared" si="17"/>
        <v>800</v>
      </c>
      <c r="M45" s="280">
        <f t="shared" si="17"/>
        <v>1200</v>
      </c>
      <c r="N45" s="280">
        <f t="shared" si="17"/>
        <v>1200</v>
      </c>
      <c r="O45" s="280">
        <f t="shared" si="17"/>
        <v>1600</v>
      </c>
      <c r="P45" s="280">
        <f t="shared" si="17"/>
        <v>2000</v>
      </c>
      <c r="Q45" s="280">
        <f t="shared" si="17"/>
        <v>2400</v>
      </c>
      <c r="R45" s="280">
        <f t="shared" si="17"/>
        <v>2400</v>
      </c>
      <c r="S45" s="280">
        <f t="shared" si="17"/>
        <v>2800</v>
      </c>
      <c r="T45" s="280">
        <f t="shared" si="17"/>
        <v>3200</v>
      </c>
      <c r="U45" s="280">
        <f t="shared" si="17"/>
        <v>3600</v>
      </c>
      <c r="V45" s="280">
        <f t="shared" si="17"/>
        <v>3600</v>
      </c>
      <c r="W45" s="280">
        <f t="shared" si="17"/>
        <v>4000</v>
      </c>
      <c r="X45" s="280">
        <f t="shared" si="17"/>
        <v>4400</v>
      </c>
      <c r="Y45" s="280">
        <f t="shared" si="17"/>
        <v>4800</v>
      </c>
      <c r="Z45" s="280">
        <f t="shared" si="17"/>
        <v>5200</v>
      </c>
      <c r="AA45" s="280">
        <f t="shared" si="17"/>
        <v>5200</v>
      </c>
      <c r="AB45" s="280">
        <f t="shared" si="17"/>
        <v>5600</v>
      </c>
      <c r="AC45" s="280">
        <f t="shared" si="17"/>
        <v>6000</v>
      </c>
      <c r="AD45" s="280">
        <f t="shared" si="17"/>
        <v>6400</v>
      </c>
      <c r="AE45" s="280">
        <f t="shared" si="17"/>
        <v>6800</v>
      </c>
      <c r="AF45" s="280">
        <f t="shared" si="17"/>
        <v>7200</v>
      </c>
      <c r="AG45" s="280">
        <f t="shared" si="17"/>
        <v>7200</v>
      </c>
      <c r="AH45" s="280">
        <f t="shared" si="17"/>
        <v>7600</v>
      </c>
      <c r="AI45" s="280">
        <f t="shared" si="17"/>
        <v>8000</v>
      </c>
      <c r="AJ45" s="280">
        <f t="shared" si="17"/>
        <v>8400</v>
      </c>
      <c r="AK45" s="280">
        <f t="shared" si="17"/>
        <v>8800</v>
      </c>
      <c r="AL45" s="280">
        <f t="shared" si="17"/>
        <v>9200</v>
      </c>
      <c r="AM45" s="280">
        <f t="shared" si="17"/>
        <v>9600</v>
      </c>
      <c r="AN45" s="280">
        <f t="shared" si="17"/>
        <v>9600</v>
      </c>
      <c r="AO45" s="280">
        <f t="shared" si="17"/>
        <v>10000</v>
      </c>
      <c r="AP45" s="280">
        <f t="shared" si="17"/>
        <v>10400</v>
      </c>
      <c r="AQ45" s="280">
        <f t="shared" si="17"/>
        <v>10800</v>
      </c>
      <c r="AR45" s="280">
        <f t="shared" si="17"/>
        <v>11200</v>
      </c>
      <c r="AS45" s="280">
        <f t="shared" si="17"/>
        <v>11200</v>
      </c>
      <c r="AT45" s="280">
        <f t="shared" si="17"/>
        <v>11600</v>
      </c>
      <c r="AU45" s="280">
        <f t="shared" si="17"/>
        <v>12000</v>
      </c>
      <c r="AV45" s="280">
        <f t="shared" si="17"/>
        <v>12400</v>
      </c>
      <c r="AW45" s="280">
        <f t="shared" si="17"/>
        <v>12800</v>
      </c>
      <c r="AX45" s="280">
        <f t="shared" si="17"/>
        <v>13200</v>
      </c>
      <c r="AY45" s="280">
        <f t="shared" si="17"/>
        <v>13600</v>
      </c>
      <c r="AZ45" s="280">
        <f t="shared" si="17"/>
        <v>14000</v>
      </c>
      <c r="BA45" s="280">
        <f t="shared" si="17"/>
        <v>14400</v>
      </c>
      <c r="BB45" s="280">
        <f t="shared" si="17"/>
        <v>14400</v>
      </c>
      <c r="BC45" s="280">
        <f t="shared" si="17"/>
        <v>14800</v>
      </c>
      <c r="BD45" s="280">
        <f t="shared" si="17"/>
        <v>15200</v>
      </c>
      <c r="BE45" s="280">
        <f t="shared" si="17"/>
        <v>15600</v>
      </c>
      <c r="BF45" s="280">
        <f t="shared" si="17"/>
        <v>16000</v>
      </c>
      <c r="BG45" s="280">
        <f t="shared" si="17"/>
        <v>16400</v>
      </c>
      <c r="BH45" s="280">
        <f t="shared" si="17"/>
        <v>16800</v>
      </c>
      <c r="BI45" s="280">
        <f t="shared" si="17"/>
        <v>17200</v>
      </c>
    </row>
    <row r="46" spans="1:61" outlineLevel="1" x14ac:dyDescent="0.25">
      <c r="A46" s="18" t="s">
        <v>593</v>
      </c>
      <c r="B46" s="530">
        <f>B40*$B$16</f>
        <v>0</v>
      </c>
      <c r="C46" s="530">
        <f t="shared" ref="C46:BI46" si="18">C40*$B$16</f>
        <v>0</v>
      </c>
      <c r="D46" s="530">
        <f t="shared" si="18"/>
        <v>0</v>
      </c>
      <c r="E46" s="530">
        <f t="shared" si="18"/>
        <v>0</v>
      </c>
      <c r="F46" s="530">
        <f t="shared" si="18"/>
        <v>0</v>
      </c>
      <c r="G46" s="530">
        <f t="shared" si="18"/>
        <v>0</v>
      </c>
      <c r="H46" s="530">
        <f t="shared" si="18"/>
        <v>0</v>
      </c>
      <c r="I46" s="530">
        <f t="shared" si="18"/>
        <v>80</v>
      </c>
      <c r="J46" s="530">
        <f t="shared" si="18"/>
        <v>160</v>
      </c>
      <c r="K46" s="530">
        <f t="shared" si="18"/>
        <v>160</v>
      </c>
      <c r="L46" s="530">
        <f t="shared" si="18"/>
        <v>240</v>
      </c>
      <c r="M46" s="530">
        <f t="shared" si="18"/>
        <v>400</v>
      </c>
      <c r="N46" s="530">
        <f t="shared" si="18"/>
        <v>400</v>
      </c>
      <c r="O46" s="530">
        <f t="shared" si="18"/>
        <v>480</v>
      </c>
      <c r="P46" s="530">
        <f t="shared" si="18"/>
        <v>640</v>
      </c>
      <c r="Q46" s="530">
        <f t="shared" si="18"/>
        <v>720</v>
      </c>
      <c r="R46" s="530">
        <f t="shared" si="18"/>
        <v>720</v>
      </c>
      <c r="S46" s="530">
        <f t="shared" si="18"/>
        <v>880</v>
      </c>
      <c r="T46" s="530">
        <f t="shared" si="18"/>
        <v>960</v>
      </c>
      <c r="U46" s="530">
        <f t="shared" si="18"/>
        <v>1120</v>
      </c>
      <c r="V46" s="530">
        <f t="shared" si="18"/>
        <v>1120</v>
      </c>
      <c r="W46" s="530">
        <f t="shared" si="18"/>
        <v>1200</v>
      </c>
      <c r="X46" s="530">
        <f t="shared" si="18"/>
        <v>1360</v>
      </c>
      <c r="Y46" s="530">
        <f t="shared" si="18"/>
        <v>1440</v>
      </c>
      <c r="Z46" s="530">
        <f t="shared" si="18"/>
        <v>1520</v>
      </c>
      <c r="AA46" s="530">
        <f t="shared" si="18"/>
        <v>1600</v>
      </c>
      <c r="AB46" s="530">
        <f t="shared" si="18"/>
        <v>1680</v>
      </c>
      <c r="AC46" s="530">
        <f t="shared" si="18"/>
        <v>1840</v>
      </c>
      <c r="AD46" s="530">
        <f t="shared" si="18"/>
        <v>1920</v>
      </c>
      <c r="AE46" s="530">
        <f t="shared" si="18"/>
        <v>2000</v>
      </c>
      <c r="AF46" s="530">
        <f t="shared" si="18"/>
        <v>2160</v>
      </c>
      <c r="AG46" s="530">
        <f t="shared" si="18"/>
        <v>2160</v>
      </c>
      <c r="AH46" s="530">
        <f t="shared" si="18"/>
        <v>2320</v>
      </c>
      <c r="AI46" s="530">
        <f t="shared" si="18"/>
        <v>2400</v>
      </c>
      <c r="AJ46" s="530">
        <f t="shared" si="18"/>
        <v>2480</v>
      </c>
      <c r="AK46" s="530">
        <f t="shared" si="18"/>
        <v>2640</v>
      </c>
      <c r="AL46" s="530">
        <f t="shared" si="18"/>
        <v>2720</v>
      </c>
      <c r="AM46" s="530">
        <f t="shared" si="18"/>
        <v>2800</v>
      </c>
      <c r="AN46" s="530">
        <f t="shared" si="18"/>
        <v>2800</v>
      </c>
      <c r="AO46" s="530">
        <f t="shared" si="18"/>
        <v>2960</v>
      </c>
      <c r="AP46" s="530">
        <f t="shared" si="18"/>
        <v>3040</v>
      </c>
      <c r="AQ46" s="530">
        <f t="shared" si="18"/>
        <v>3200</v>
      </c>
      <c r="AR46" s="530">
        <f t="shared" si="18"/>
        <v>3280</v>
      </c>
      <c r="AS46" s="530">
        <f t="shared" si="18"/>
        <v>3280</v>
      </c>
      <c r="AT46" s="530">
        <f t="shared" si="18"/>
        <v>3440</v>
      </c>
      <c r="AU46" s="530">
        <f t="shared" si="18"/>
        <v>3520</v>
      </c>
      <c r="AV46" s="530">
        <f t="shared" si="18"/>
        <v>3680</v>
      </c>
      <c r="AW46" s="530">
        <f t="shared" si="18"/>
        <v>3760</v>
      </c>
      <c r="AX46" s="530">
        <f t="shared" si="18"/>
        <v>3840</v>
      </c>
      <c r="AY46" s="530">
        <f t="shared" si="18"/>
        <v>3920</v>
      </c>
      <c r="AZ46" s="530">
        <f t="shared" si="18"/>
        <v>4080</v>
      </c>
      <c r="BA46" s="530">
        <f t="shared" si="18"/>
        <v>4160</v>
      </c>
      <c r="BB46" s="530">
        <f t="shared" si="18"/>
        <v>4160</v>
      </c>
      <c r="BC46" s="530">
        <f t="shared" si="18"/>
        <v>4320</v>
      </c>
      <c r="BD46" s="530">
        <f t="shared" si="18"/>
        <v>4400</v>
      </c>
      <c r="BE46" s="530">
        <f t="shared" si="18"/>
        <v>4560</v>
      </c>
      <c r="BF46" s="530">
        <f t="shared" si="18"/>
        <v>4640</v>
      </c>
      <c r="BG46" s="530">
        <f t="shared" si="18"/>
        <v>4800</v>
      </c>
      <c r="BH46" s="530">
        <f t="shared" si="18"/>
        <v>4880</v>
      </c>
      <c r="BI46" s="530">
        <f t="shared" si="18"/>
        <v>4960</v>
      </c>
    </row>
    <row r="47" spans="1:61" x14ac:dyDescent="0.25">
      <c r="B47" s="109"/>
    </row>
    <row r="48" spans="1:61" s="533" customFormat="1" ht="20" customHeight="1" x14ac:dyDescent="0.25">
      <c r="A48" s="533" t="str">
        <f>E3</f>
        <v>WGF offline tournaments support</v>
      </c>
      <c r="B48" s="533">
        <f>B36</f>
        <v>43831</v>
      </c>
      <c r="C48" s="533">
        <f t="shared" ref="C48:BI48" si="19">C36</f>
        <v>43862</v>
      </c>
      <c r="D48" s="533">
        <f t="shared" si="19"/>
        <v>43891</v>
      </c>
      <c r="E48" s="533">
        <f t="shared" si="19"/>
        <v>43922</v>
      </c>
      <c r="F48" s="533">
        <f t="shared" si="19"/>
        <v>43952</v>
      </c>
      <c r="G48" s="533">
        <f t="shared" si="19"/>
        <v>43983</v>
      </c>
      <c r="H48" s="533">
        <f t="shared" si="19"/>
        <v>44013</v>
      </c>
      <c r="I48" s="533">
        <f t="shared" si="19"/>
        <v>44044</v>
      </c>
      <c r="J48" s="533">
        <f t="shared" si="19"/>
        <v>44075</v>
      </c>
      <c r="K48" s="533">
        <f t="shared" si="19"/>
        <v>44105</v>
      </c>
      <c r="L48" s="533">
        <f t="shared" si="19"/>
        <v>44136</v>
      </c>
      <c r="M48" s="533">
        <f t="shared" si="19"/>
        <v>44166</v>
      </c>
      <c r="N48" s="533">
        <f t="shared" si="19"/>
        <v>44197</v>
      </c>
      <c r="O48" s="533">
        <f t="shared" si="19"/>
        <v>44228</v>
      </c>
      <c r="P48" s="533">
        <f t="shared" si="19"/>
        <v>44259</v>
      </c>
      <c r="Q48" s="533">
        <f t="shared" si="19"/>
        <v>44290</v>
      </c>
      <c r="R48" s="533">
        <f t="shared" si="19"/>
        <v>44321</v>
      </c>
      <c r="S48" s="533">
        <f t="shared" si="19"/>
        <v>44352</v>
      </c>
      <c r="T48" s="533">
        <f t="shared" si="19"/>
        <v>44383</v>
      </c>
      <c r="U48" s="533">
        <f t="shared" si="19"/>
        <v>44414</v>
      </c>
      <c r="V48" s="533">
        <f t="shared" si="19"/>
        <v>44445</v>
      </c>
      <c r="W48" s="533">
        <f t="shared" si="19"/>
        <v>44476</v>
      </c>
      <c r="X48" s="533">
        <f t="shared" si="19"/>
        <v>44507</v>
      </c>
      <c r="Y48" s="533">
        <f t="shared" si="19"/>
        <v>44538</v>
      </c>
      <c r="Z48" s="533">
        <f t="shared" si="19"/>
        <v>44569</v>
      </c>
      <c r="AA48" s="533">
        <f t="shared" si="19"/>
        <v>44600</v>
      </c>
      <c r="AB48" s="533">
        <f t="shared" si="19"/>
        <v>44631</v>
      </c>
      <c r="AC48" s="533">
        <f t="shared" si="19"/>
        <v>44662</v>
      </c>
      <c r="AD48" s="533">
        <f t="shared" si="19"/>
        <v>44693</v>
      </c>
      <c r="AE48" s="533">
        <f t="shared" si="19"/>
        <v>44724</v>
      </c>
      <c r="AF48" s="533">
        <f t="shared" si="19"/>
        <v>44755</v>
      </c>
      <c r="AG48" s="533">
        <f t="shared" si="19"/>
        <v>44786</v>
      </c>
      <c r="AH48" s="533">
        <f t="shared" si="19"/>
        <v>44817</v>
      </c>
      <c r="AI48" s="533">
        <f t="shared" si="19"/>
        <v>44848</v>
      </c>
      <c r="AJ48" s="533">
        <f t="shared" si="19"/>
        <v>44879</v>
      </c>
      <c r="AK48" s="533">
        <f t="shared" si="19"/>
        <v>44910</v>
      </c>
      <c r="AL48" s="533">
        <f t="shared" si="19"/>
        <v>44941</v>
      </c>
      <c r="AM48" s="533">
        <f t="shared" si="19"/>
        <v>44972</v>
      </c>
      <c r="AN48" s="533">
        <f t="shared" si="19"/>
        <v>45003</v>
      </c>
      <c r="AO48" s="533">
        <f t="shared" si="19"/>
        <v>45034</v>
      </c>
      <c r="AP48" s="533">
        <f t="shared" si="19"/>
        <v>45065</v>
      </c>
      <c r="AQ48" s="533">
        <f t="shared" si="19"/>
        <v>45096</v>
      </c>
      <c r="AR48" s="533">
        <f t="shared" si="19"/>
        <v>45127</v>
      </c>
      <c r="AS48" s="533">
        <f t="shared" si="19"/>
        <v>45158</v>
      </c>
      <c r="AT48" s="533">
        <f t="shared" si="19"/>
        <v>45189</v>
      </c>
      <c r="AU48" s="533">
        <f t="shared" si="19"/>
        <v>45220</v>
      </c>
      <c r="AV48" s="533">
        <f t="shared" si="19"/>
        <v>45251</v>
      </c>
      <c r="AW48" s="533">
        <f t="shared" si="19"/>
        <v>45282</v>
      </c>
      <c r="AX48" s="533">
        <f t="shared" si="19"/>
        <v>45313</v>
      </c>
      <c r="AY48" s="533">
        <f t="shared" si="19"/>
        <v>45344</v>
      </c>
      <c r="AZ48" s="533">
        <f t="shared" si="19"/>
        <v>45375</v>
      </c>
      <c r="BA48" s="533">
        <f t="shared" si="19"/>
        <v>45406</v>
      </c>
      <c r="BB48" s="533">
        <f t="shared" si="19"/>
        <v>45437</v>
      </c>
      <c r="BC48" s="533">
        <f t="shared" si="19"/>
        <v>45468</v>
      </c>
      <c r="BD48" s="533">
        <f t="shared" si="19"/>
        <v>45499</v>
      </c>
      <c r="BE48" s="533">
        <f t="shared" si="19"/>
        <v>45530</v>
      </c>
      <c r="BF48" s="533">
        <f t="shared" si="19"/>
        <v>45561</v>
      </c>
      <c r="BG48" s="533">
        <f t="shared" si="19"/>
        <v>45592</v>
      </c>
      <c r="BH48" s="533">
        <f t="shared" si="19"/>
        <v>45623</v>
      </c>
      <c r="BI48" s="533">
        <f t="shared" si="19"/>
        <v>45654</v>
      </c>
    </row>
    <row r="49" spans="1:61" outlineLevel="1" x14ac:dyDescent="0.25">
      <c r="A49" s="18" t="s">
        <v>589</v>
      </c>
      <c r="B49" s="136">
        <f>B50+B51</f>
        <v>0.15000000000000002</v>
      </c>
      <c r="C49" s="136">
        <f t="shared" ref="C49" si="20">C50+C51</f>
        <v>0.30000000000000004</v>
      </c>
      <c r="D49" s="136">
        <f t="shared" ref="D49" si="21">D50+D51</f>
        <v>0.45000000000000007</v>
      </c>
      <c r="E49" s="136">
        <f t="shared" ref="E49" si="22">E50+E51</f>
        <v>0.60000000000000009</v>
      </c>
      <c r="F49" s="136">
        <f t="shared" ref="F49" si="23">F50+F51</f>
        <v>0.75</v>
      </c>
      <c r="G49" s="136">
        <f t="shared" ref="G49" si="24">G50+G51</f>
        <v>0.90000000000000013</v>
      </c>
      <c r="H49" s="136">
        <f t="shared" ref="H49" si="25">H50+H51</f>
        <v>1.05</v>
      </c>
      <c r="I49" s="136">
        <f t="shared" ref="I49" si="26">I50+I51</f>
        <v>1.5</v>
      </c>
      <c r="J49" s="136">
        <f t="shared" ref="J49" si="27">J50+J51</f>
        <v>2.1</v>
      </c>
      <c r="K49" s="136">
        <f t="shared" ref="K49" si="28">K50+K51</f>
        <v>3</v>
      </c>
      <c r="L49" s="136">
        <f t="shared" ref="L49" si="29">L50+L51</f>
        <v>4.2</v>
      </c>
      <c r="M49" s="136">
        <f t="shared" ref="M49" si="30">M50+M51</f>
        <v>5.7</v>
      </c>
      <c r="N49" s="136">
        <f t="shared" ref="N49" si="31">N50+N51</f>
        <v>7.2000000000000011</v>
      </c>
      <c r="O49" s="136">
        <f t="shared" ref="O49" si="32">O50+O51</f>
        <v>8.7000000000000011</v>
      </c>
      <c r="P49" s="136">
        <f t="shared" ref="P49" si="33">P50+P51</f>
        <v>10.200000000000001</v>
      </c>
      <c r="Q49" s="136">
        <f t="shared" ref="Q49" si="34">Q50+Q51</f>
        <v>11.700000000000001</v>
      </c>
      <c r="R49" s="136">
        <f t="shared" ref="R49" si="35">R50+R51</f>
        <v>13.200000000000001</v>
      </c>
      <c r="S49" s="136">
        <f t="shared" ref="S49" si="36">S50+S51</f>
        <v>14.700000000000001</v>
      </c>
      <c r="T49" s="136">
        <f t="shared" ref="T49" si="37">T50+T51</f>
        <v>16.200000000000003</v>
      </c>
      <c r="U49" s="136">
        <f t="shared" ref="U49" si="38">U50+U51</f>
        <v>17.700000000000003</v>
      </c>
      <c r="V49" s="136">
        <f t="shared" ref="V49" si="39">V50+V51</f>
        <v>19.200000000000003</v>
      </c>
      <c r="W49" s="136">
        <f t="shared" ref="W49" si="40">W50+W51</f>
        <v>20.85</v>
      </c>
      <c r="X49" s="136">
        <f t="shared" ref="X49" si="41">X50+X51</f>
        <v>22.5</v>
      </c>
      <c r="Y49" s="136">
        <f t="shared" ref="Y49" si="42">Y50+Y51</f>
        <v>24.150000000000002</v>
      </c>
      <c r="Z49" s="136">
        <f t="shared" ref="Z49" si="43">Z50+Z51</f>
        <v>25.799999999999997</v>
      </c>
      <c r="AA49" s="136">
        <f t="shared" ref="AA49" si="44">AA50+AA51</f>
        <v>27.450000000000003</v>
      </c>
      <c r="AB49" s="136">
        <f t="shared" ref="AB49" si="45">AB50+AB51</f>
        <v>29.1</v>
      </c>
      <c r="AC49" s="136">
        <f t="shared" ref="AC49" si="46">AC50+AC51</f>
        <v>30.75</v>
      </c>
      <c r="AD49" s="136">
        <f t="shared" ref="AD49" si="47">AD50+AD51</f>
        <v>32.400000000000006</v>
      </c>
      <c r="AE49" s="136">
        <f t="shared" ref="AE49" si="48">AE50+AE51</f>
        <v>34.050000000000004</v>
      </c>
      <c r="AF49" s="136">
        <f t="shared" ref="AF49" si="49">AF50+AF51</f>
        <v>35.700000000000003</v>
      </c>
      <c r="AG49" s="136">
        <f t="shared" ref="AG49" si="50">AG50+AG51</f>
        <v>37.35</v>
      </c>
      <c r="AH49" s="136">
        <f t="shared" ref="AH49" si="51">AH50+AH51</f>
        <v>39</v>
      </c>
      <c r="AI49" s="136">
        <f t="shared" ref="AI49" si="52">AI50+AI51</f>
        <v>40.650000000000006</v>
      </c>
      <c r="AJ49" s="136">
        <f t="shared" ref="AJ49" si="53">AJ50+AJ51</f>
        <v>42.300000000000004</v>
      </c>
      <c r="AK49" s="136">
        <f t="shared" ref="AK49" si="54">AK50+AK51</f>
        <v>43.95</v>
      </c>
      <c r="AL49" s="136">
        <f t="shared" ref="AL49" si="55">AL50+AL51</f>
        <v>45.6</v>
      </c>
      <c r="AM49" s="136">
        <f t="shared" ref="AM49" si="56">AM50+AM51</f>
        <v>47.25</v>
      </c>
      <c r="AN49" s="136">
        <f t="shared" ref="AN49" si="57">AN50+AN51</f>
        <v>48.900000000000006</v>
      </c>
      <c r="AO49" s="136">
        <f t="shared" ref="AO49" si="58">AO50+AO51</f>
        <v>50.550000000000004</v>
      </c>
      <c r="AP49" s="136">
        <f t="shared" ref="AP49" si="59">AP50+AP51</f>
        <v>52.2</v>
      </c>
      <c r="AQ49" s="136">
        <f t="shared" ref="AQ49" si="60">AQ50+AQ51</f>
        <v>53.849999999999994</v>
      </c>
      <c r="AR49" s="136">
        <f t="shared" ref="AR49" si="61">AR50+AR51</f>
        <v>55.5</v>
      </c>
      <c r="AS49" s="136">
        <f t="shared" ref="AS49" si="62">AS50+AS51</f>
        <v>57.150000000000006</v>
      </c>
      <c r="AT49" s="136">
        <f t="shared" ref="AT49" si="63">AT50+AT51</f>
        <v>58.800000000000004</v>
      </c>
      <c r="AU49" s="136">
        <f t="shared" ref="AU49" si="64">AU50+AU51</f>
        <v>60.45</v>
      </c>
      <c r="AV49" s="136">
        <f t="shared" ref="AV49" si="65">AV50+AV51</f>
        <v>62.100000000000009</v>
      </c>
      <c r="AW49" s="136">
        <f t="shared" ref="AW49" si="66">AW50+AW51</f>
        <v>63.75</v>
      </c>
      <c r="AX49" s="136">
        <f t="shared" ref="AX49" si="67">AX50+AX51</f>
        <v>65.400000000000006</v>
      </c>
      <c r="AY49" s="136">
        <f t="shared" ref="AY49" si="68">AY50+AY51</f>
        <v>67.050000000000011</v>
      </c>
      <c r="AZ49" s="136">
        <f t="shared" ref="AZ49" si="69">AZ50+AZ51</f>
        <v>68.7</v>
      </c>
      <c r="BA49" s="136">
        <f t="shared" ref="BA49" si="70">BA50+BA51</f>
        <v>70.5</v>
      </c>
      <c r="BB49" s="136">
        <f t="shared" ref="BB49" si="71">BB50+BB51</f>
        <v>72.300000000000011</v>
      </c>
      <c r="BC49" s="136">
        <f t="shared" ref="BC49" si="72">BC50+BC51</f>
        <v>74.100000000000009</v>
      </c>
      <c r="BD49" s="136">
        <f t="shared" ref="BD49" si="73">BD50+BD51</f>
        <v>75.900000000000006</v>
      </c>
      <c r="BE49" s="136">
        <f t="shared" ref="BE49" si="74">BE50+BE51</f>
        <v>77.7</v>
      </c>
      <c r="BF49" s="136">
        <f t="shared" ref="BF49" si="75">BF50+BF51</f>
        <v>79.5</v>
      </c>
      <c r="BG49" s="136">
        <f t="shared" ref="BG49" si="76">BG50+BG51</f>
        <v>81.300000000000011</v>
      </c>
      <c r="BH49" s="136">
        <f t="shared" ref="BH49" si="77">BH50+BH51</f>
        <v>83.100000000000009</v>
      </c>
      <c r="BI49" s="136">
        <f t="shared" ref="BI49" si="78">BI50+BI51</f>
        <v>84.9</v>
      </c>
    </row>
    <row r="50" spans="1:61" outlineLevel="1" x14ac:dyDescent="0.25">
      <c r="A50" s="542" t="str">
        <f>A28</f>
        <v>&gt; Brands</v>
      </c>
      <c r="B50" s="117">
        <f>B24*$I$5</f>
        <v>0.05</v>
      </c>
      <c r="C50" s="117">
        <f t="shared" ref="C50:BI50" si="79">C24*$I$5</f>
        <v>0.1</v>
      </c>
      <c r="D50" s="117">
        <f t="shared" si="79"/>
        <v>0.15000000000000002</v>
      </c>
      <c r="E50" s="117">
        <f t="shared" si="79"/>
        <v>0.2</v>
      </c>
      <c r="F50" s="117">
        <f t="shared" si="79"/>
        <v>0.25</v>
      </c>
      <c r="G50" s="117">
        <f t="shared" si="79"/>
        <v>0.30000000000000004</v>
      </c>
      <c r="H50" s="117">
        <f t="shared" si="79"/>
        <v>0.35000000000000003</v>
      </c>
      <c r="I50" s="117">
        <f t="shared" si="79"/>
        <v>0.5</v>
      </c>
      <c r="J50" s="117">
        <f t="shared" si="79"/>
        <v>0.70000000000000007</v>
      </c>
      <c r="K50" s="117">
        <f t="shared" si="79"/>
        <v>1</v>
      </c>
      <c r="L50" s="117">
        <f t="shared" si="79"/>
        <v>1.4000000000000001</v>
      </c>
      <c r="M50" s="117">
        <f t="shared" si="79"/>
        <v>1.9000000000000001</v>
      </c>
      <c r="N50" s="117">
        <f t="shared" si="79"/>
        <v>2.4000000000000004</v>
      </c>
      <c r="O50" s="117">
        <f t="shared" si="79"/>
        <v>2.9000000000000004</v>
      </c>
      <c r="P50" s="117">
        <f t="shared" si="79"/>
        <v>3.4000000000000004</v>
      </c>
      <c r="Q50" s="117">
        <f t="shared" si="79"/>
        <v>3.9000000000000004</v>
      </c>
      <c r="R50" s="117">
        <f t="shared" si="79"/>
        <v>4.4000000000000004</v>
      </c>
      <c r="S50" s="117">
        <f t="shared" si="79"/>
        <v>4.9000000000000004</v>
      </c>
      <c r="T50" s="117">
        <f t="shared" si="79"/>
        <v>5.4</v>
      </c>
      <c r="U50" s="117">
        <f t="shared" si="79"/>
        <v>5.9</v>
      </c>
      <c r="V50" s="117">
        <f t="shared" si="79"/>
        <v>6.4</v>
      </c>
      <c r="W50" s="117">
        <f t="shared" si="79"/>
        <v>6.95</v>
      </c>
      <c r="X50" s="117">
        <f t="shared" si="79"/>
        <v>7.5</v>
      </c>
      <c r="Y50" s="117">
        <f t="shared" si="79"/>
        <v>8.0500000000000007</v>
      </c>
      <c r="Z50" s="117">
        <f t="shared" si="79"/>
        <v>8.6</v>
      </c>
      <c r="AA50" s="117">
        <f t="shared" si="79"/>
        <v>9.15</v>
      </c>
      <c r="AB50" s="117">
        <f t="shared" si="79"/>
        <v>9.7000000000000011</v>
      </c>
      <c r="AC50" s="117">
        <f t="shared" si="79"/>
        <v>10.25</v>
      </c>
      <c r="AD50" s="117">
        <f t="shared" si="79"/>
        <v>10.8</v>
      </c>
      <c r="AE50" s="117">
        <f t="shared" si="79"/>
        <v>11.350000000000001</v>
      </c>
      <c r="AF50" s="117">
        <f t="shared" si="79"/>
        <v>11.9</v>
      </c>
      <c r="AG50" s="117">
        <f t="shared" si="79"/>
        <v>12.450000000000001</v>
      </c>
      <c r="AH50" s="117">
        <f t="shared" si="79"/>
        <v>13</v>
      </c>
      <c r="AI50" s="117">
        <f t="shared" si="79"/>
        <v>13.55</v>
      </c>
      <c r="AJ50" s="117">
        <f t="shared" si="79"/>
        <v>14.100000000000001</v>
      </c>
      <c r="AK50" s="117">
        <f t="shared" si="79"/>
        <v>14.65</v>
      </c>
      <c r="AL50" s="117">
        <f t="shared" si="79"/>
        <v>15.200000000000001</v>
      </c>
      <c r="AM50" s="117">
        <f t="shared" si="79"/>
        <v>15.75</v>
      </c>
      <c r="AN50" s="117">
        <f t="shared" si="79"/>
        <v>16.3</v>
      </c>
      <c r="AO50" s="117">
        <f t="shared" si="79"/>
        <v>16.850000000000001</v>
      </c>
      <c r="AP50" s="117">
        <f t="shared" si="79"/>
        <v>17.400000000000002</v>
      </c>
      <c r="AQ50" s="117">
        <f t="shared" si="79"/>
        <v>17.95</v>
      </c>
      <c r="AR50" s="117">
        <f t="shared" si="79"/>
        <v>18.5</v>
      </c>
      <c r="AS50" s="117">
        <f t="shared" si="79"/>
        <v>19.05</v>
      </c>
      <c r="AT50" s="117">
        <f t="shared" si="79"/>
        <v>19.600000000000001</v>
      </c>
      <c r="AU50" s="117">
        <f t="shared" si="79"/>
        <v>20.150000000000002</v>
      </c>
      <c r="AV50" s="117">
        <f t="shared" si="79"/>
        <v>20.700000000000003</v>
      </c>
      <c r="AW50" s="117">
        <f t="shared" si="79"/>
        <v>21.25</v>
      </c>
      <c r="AX50" s="117">
        <f t="shared" si="79"/>
        <v>21.8</v>
      </c>
      <c r="AY50" s="117">
        <f t="shared" si="79"/>
        <v>22.35</v>
      </c>
      <c r="AZ50" s="117">
        <f t="shared" si="79"/>
        <v>22.900000000000002</v>
      </c>
      <c r="BA50" s="117">
        <f t="shared" si="79"/>
        <v>23.5</v>
      </c>
      <c r="BB50" s="117">
        <f t="shared" si="79"/>
        <v>24.1</v>
      </c>
      <c r="BC50" s="117">
        <f t="shared" si="79"/>
        <v>24.700000000000003</v>
      </c>
      <c r="BD50" s="117">
        <f t="shared" si="79"/>
        <v>25.3</v>
      </c>
      <c r="BE50" s="117">
        <f t="shared" si="79"/>
        <v>25.900000000000002</v>
      </c>
      <c r="BF50" s="117">
        <f t="shared" si="79"/>
        <v>26.5</v>
      </c>
      <c r="BG50" s="117">
        <f t="shared" si="79"/>
        <v>27.1</v>
      </c>
      <c r="BH50" s="117">
        <f t="shared" si="79"/>
        <v>27.700000000000003</v>
      </c>
      <c r="BI50" s="117">
        <f t="shared" si="79"/>
        <v>28.3</v>
      </c>
    </row>
    <row r="51" spans="1:61" outlineLevel="1" x14ac:dyDescent="0.25">
      <c r="A51" s="542" t="str">
        <f>A29</f>
        <v>&gt; City halls</v>
      </c>
      <c r="B51" s="117">
        <f>B24*$I$6</f>
        <v>0.1</v>
      </c>
      <c r="C51" s="117">
        <f t="shared" ref="C51:BI51" si="80">C24*$I$6</f>
        <v>0.2</v>
      </c>
      <c r="D51" s="117">
        <f t="shared" si="80"/>
        <v>0.30000000000000004</v>
      </c>
      <c r="E51" s="117">
        <f t="shared" si="80"/>
        <v>0.4</v>
      </c>
      <c r="F51" s="117">
        <f t="shared" si="80"/>
        <v>0.5</v>
      </c>
      <c r="G51" s="117">
        <f t="shared" si="80"/>
        <v>0.60000000000000009</v>
      </c>
      <c r="H51" s="117">
        <f t="shared" si="80"/>
        <v>0.70000000000000007</v>
      </c>
      <c r="I51" s="117">
        <f t="shared" si="80"/>
        <v>1</v>
      </c>
      <c r="J51" s="117">
        <f t="shared" si="80"/>
        <v>1.4000000000000001</v>
      </c>
      <c r="K51" s="117">
        <f t="shared" si="80"/>
        <v>2</v>
      </c>
      <c r="L51" s="117">
        <f t="shared" si="80"/>
        <v>2.8000000000000003</v>
      </c>
      <c r="M51" s="117">
        <f t="shared" si="80"/>
        <v>3.8000000000000003</v>
      </c>
      <c r="N51" s="117">
        <f t="shared" si="80"/>
        <v>4.8000000000000007</v>
      </c>
      <c r="O51" s="117">
        <f t="shared" si="80"/>
        <v>5.8000000000000007</v>
      </c>
      <c r="P51" s="117">
        <f t="shared" si="80"/>
        <v>6.8000000000000007</v>
      </c>
      <c r="Q51" s="117">
        <f t="shared" si="80"/>
        <v>7.8000000000000007</v>
      </c>
      <c r="R51" s="117">
        <f t="shared" si="80"/>
        <v>8.8000000000000007</v>
      </c>
      <c r="S51" s="117">
        <f t="shared" si="80"/>
        <v>9.8000000000000007</v>
      </c>
      <c r="T51" s="117">
        <f t="shared" si="80"/>
        <v>10.8</v>
      </c>
      <c r="U51" s="117">
        <f t="shared" si="80"/>
        <v>11.8</v>
      </c>
      <c r="V51" s="117">
        <f t="shared" si="80"/>
        <v>12.8</v>
      </c>
      <c r="W51" s="117">
        <f t="shared" si="80"/>
        <v>13.9</v>
      </c>
      <c r="X51" s="117">
        <f t="shared" si="80"/>
        <v>15</v>
      </c>
      <c r="Y51" s="117">
        <f t="shared" si="80"/>
        <v>16.100000000000001</v>
      </c>
      <c r="Z51" s="117">
        <f t="shared" si="80"/>
        <v>17.2</v>
      </c>
      <c r="AA51" s="117">
        <f t="shared" si="80"/>
        <v>18.3</v>
      </c>
      <c r="AB51" s="117">
        <f t="shared" si="80"/>
        <v>19.400000000000002</v>
      </c>
      <c r="AC51" s="117">
        <f t="shared" si="80"/>
        <v>20.5</v>
      </c>
      <c r="AD51" s="117">
        <f t="shared" si="80"/>
        <v>21.6</v>
      </c>
      <c r="AE51" s="117">
        <f t="shared" si="80"/>
        <v>22.700000000000003</v>
      </c>
      <c r="AF51" s="117">
        <f t="shared" si="80"/>
        <v>23.8</v>
      </c>
      <c r="AG51" s="117">
        <f t="shared" si="80"/>
        <v>24.900000000000002</v>
      </c>
      <c r="AH51" s="117">
        <f t="shared" si="80"/>
        <v>26</v>
      </c>
      <c r="AI51" s="117">
        <f t="shared" si="80"/>
        <v>27.1</v>
      </c>
      <c r="AJ51" s="117">
        <f t="shared" si="80"/>
        <v>28.200000000000003</v>
      </c>
      <c r="AK51" s="117">
        <f t="shared" si="80"/>
        <v>29.3</v>
      </c>
      <c r="AL51" s="117">
        <f t="shared" si="80"/>
        <v>30.400000000000002</v>
      </c>
      <c r="AM51" s="117">
        <f t="shared" si="80"/>
        <v>31.5</v>
      </c>
      <c r="AN51" s="117">
        <f t="shared" si="80"/>
        <v>32.6</v>
      </c>
      <c r="AO51" s="117">
        <f t="shared" si="80"/>
        <v>33.700000000000003</v>
      </c>
      <c r="AP51" s="117">
        <f t="shared" si="80"/>
        <v>34.800000000000004</v>
      </c>
      <c r="AQ51" s="117">
        <f t="shared" si="80"/>
        <v>35.9</v>
      </c>
      <c r="AR51" s="117">
        <f t="shared" si="80"/>
        <v>37</v>
      </c>
      <c r="AS51" s="117">
        <f t="shared" si="80"/>
        <v>38.1</v>
      </c>
      <c r="AT51" s="117">
        <f t="shared" si="80"/>
        <v>39.200000000000003</v>
      </c>
      <c r="AU51" s="117">
        <f t="shared" si="80"/>
        <v>40.300000000000004</v>
      </c>
      <c r="AV51" s="117">
        <f t="shared" si="80"/>
        <v>41.400000000000006</v>
      </c>
      <c r="AW51" s="117">
        <f t="shared" si="80"/>
        <v>42.5</v>
      </c>
      <c r="AX51" s="117">
        <f t="shared" si="80"/>
        <v>43.6</v>
      </c>
      <c r="AY51" s="117">
        <f t="shared" si="80"/>
        <v>44.7</v>
      </c>
      <c r="AZ51" s="117">
        <f t="shared" si="80"/>
        <v>45.800000000000004</v>
      </c>
      <c r="BA51" s="117">
        <f t="shared" si="80"/>
        <v>47</v>
      </c>
      <c r="BB51" s="117">
        <f t="shared" si="80"/>
        <v>48.2</v>
      </c>
      <c r="BC51" s="117">
        <f t="shared" si="80"/>
        <v>49.400000000000006</v>
      </c>
      <c r="BD51" s="117">
        <f t="shared" si="80"/>
        <v>50.6</v>
      </c>
      <c r="BE51" s="117">
        <f t="shared" si="80"/>
        <v>51.800000000000004</v>
      </c>
      <c r="BF51" s="117">
        <f t="shared" si="80"/>
        <v>53</v>
      </c>
      <c r="BG51" s="117">
        <f t="shared" si="80"/>
        <v>54.2</v>
      </c>
      <c r="BH51" s="117">
        <f t="shared" si="80"/>
        <v>55.400000000000006</v>
      </c>
      <c r="BI51" s="117">
        <f t="shared" si="80"/>
        <v>56.6</v>
      </c>
    </row>
    <row r="52" spans="1:61" s="2" customFormat="1" outlineLevel="1" x14ac:dyDescent="0.25">
      <c r="A52" s="17" t="s">
        <v>590</v>
      </c>
      <c r="B52" s="528">
        <f>ROUND(B53+B54,0)</f>
        <v>0</v>
      </c>
      <c r="C52" s="528">
        <f t="shared" ref="C52" si="81">ROUND(C53+C54,0)</f>
        <v>0</v>
      </c>
      <c r="D52" s="528">
        <f t="shared" ref="D52" si="82">ROUND(D53+D54,0)</f>
        <v>0</v>
      </c>
      <c r="E52" s="528">
        <f t="shared" ref="E52" si="83">ROUND(E53+E54,0)</f>
        <v>0</v>
      </c>
      <c r="F52" s="528">
        <f t="shared" ref="F52" si="84">ROUND(F53+F54,0)</f>
        <v>0</v>
      </c>
      <c r="G52" s="528">
        <f t="shared" ref="G52" si="85">ROUND(G53+G54,0)</f>
        <v>0</v>
      </c>
      <c r="H52" s="528">
        <f t="shared" ref="H52" si="86">ROUND(H53+H54,0)</f>
        <v>0</v>
      </c>
      <c r="I52" s="528">
        <f t="shared" ref="I52" si="87">ROUND(I53+I54,0)</f>
        <v>0</v>
      </c>
      <c r="J52" s="528">
        <f t="shared" ref="J52" si="88">ROUND(J53+J54,0)</f>
        <v>0</v>
      </c>
      <c r="K52" s="528">
        <f t="shared" ref="K52" si="89">ROUND(K53+K54,0)</f>
        <v>0</v>
      </c>
      <c r="L52" s="528">
        <f t="shared" ref="L52" si="90">ROUND(L53+L54,0)</f>
        <v>0</v>
      </c>
      <c r="M52" s="528">
        <f t="shared" ref="M52" si="91">ROUND(M53+M54,0)</f>
        <v>1</v>
      </c>
      <c r="N52" s="528">
        <f t="shared" ref="N52" si="92">ROUND(N53+N54,0)</f>
        <v>1</v>
      </c>
      <c r="O52" s="528">
        <f t="shared" ref="O52" si="93">ROUND(O53+O54,0)</f>
        <v>1</v>
      </c>
      <c r="P52" s="528">
        <f t="shared" ref="P52" si="94">ROUND(P53+P54,0)</f>
        <v>2</v>
      </c>
      <c r="Q52" s="528">
        <f t="shared" ref="Q52" si="95">ROUND(Q53+Q54,0)</f>
        <v>2</v>
      </c>
      <c r="R52" s="528">
        <f t="shared" ref="R52" si="96">ROUND(R53+R54,0)</f>
        <v>2</v>
      </c>
      <c r="S52" s="528">
        <f t="shared" ref="S52" si="97">ROUND(S53+S54,0)</f>
        <v>3</v>
      </c>
      <c r="T52" s="528">
        <f t="shared" ref="T52" si="98">ROUND(T53+T54,0)</f>
        <v>3</v>
      </c>
      <c r="U52" s="528">
        <f t="shared" ref="U52" si="99">ROUND(U53+U54,0)</f>
        <v>3</v>
      </c>
      <c r="V52" s="528">
        <f t="shared" ref="V52" si="100">ROUND(V53+V54,0)</f>
        <v>3</v>
      </c>
      <c r="W52" s="528">
        <f t="shared" ref="W52" si="101">ROUND(W53+W54,0)</f>
        <v>3</v>
      </c>
      <c r="X52" s="528">
        <f t="shared" ref="X52" si="102">ROUND(X53+X54,0)</f>
        <v>4</v>
      </c>
      <c r="Y52" s="528">
        <f t="shared" ref="Y52" si="103">ROUND(Y53+Y54,0)</f>
        <v>4</v>
      </c>
      <c r="Z52" s="528">
        <f t="shared" ref="Z52" si="104">ROUND(Z53+Z54,0)</f>
        <v>4</v>
      </c>
      <c r="AA52" s="528">
        <f t="shared" ref="AA52" si="105">ROUND(AA53+AA54,0)</f>
        <v>5</v>
      </c>
      <c r="AB52" s="528">
        <f t="shared" ref="AB52" si="106">ROUND(AB53+AB54,0)</f>
        <v>5</v>
      </c>
      <c r="AC52" s="528">
        <f t="shared" ref="AC52" si="107">ROUND(AC53+AC54,0)</f>
        <v>5</v>
      </c>
      <c r="AD52" s="528">
        <f t="shared" ref="AD52" si="108">ROUND(AD53+AD54,0)</f>
        <v>6</v>
      </c>
      <c r="AE52" s="528">
        <f t="shared" ref="AE52" si="109">ROUND(AE53+AE54,0)</f>
        <v>6</v>
      </c>
      <c r="AF52" s="528">
        <f t="shared" ref="AF52" si="110">ROUND(AF53+AF54,0)</f>
        <v>6</v>
      </c>
      <c r="AG52" s="528">
        <f t="shared" ref="AG52" si="111">ROUND(AG53+AG54,0)</f>
        <v>6</v>
      </c>
      <c r="AH52" s="528">
        <f t="shared" ref="AH52" si="112">ROUND(AH53+AH54,0)</f>
        <v>6</v>
      </c>
      <c r="AI52" s="528">
        <f t="shared" ref="AI52" si="113">ROUND(AI53+AI54,0)</f>
        <v>7</v>
      </c>
      <c r="AJ52" s="528">
        <f t="shared" ref="AJ52" si="114">ROUND(AJ53+AJ54,0)</f>
        <v>7</v>
      </c>
      <c r="AK52" s="528">
        <f t="shared" ref="AK52" si="115">ROUND(AK53+AK54,0)</f>
        <v>7</v>
      </c>
      <c r="AL52" s="528">
        <f t="shared" ref="AL52" si="116">ROUND(AL53+AL54,0)</f>
        <v>8</v>
      </c>
      <c r="AM52" s="528">
        <f t="shared" ref="AM52" si="117">ROUND(AM53+AM54,0)</f>
        <v>8</v>
      </c>
      <c r="AN52" s="528">
        <f t="shared" ref="AN52" si="118">ROUND(AN53+AN54,0)</f>
        <v>8</v>
      </c>
      <c r="AO52" s="528">
        <f t="shared" ref="AO52" si="119">ROUND(AO53+AO54,0)</f>
        <v>9</v>
      </c>
      <c r="AP52" s="528">
        <f t="shared" ref="AP52" si="120">ROUND(AP53+AP54,0)</f>
        <v>9</v>
      </c>
      <c r="AQ52" s="528">
        <f t="shared" ref="AQ52" si="121">ROUND(AQ53+AQ54,0)</f>
        <v>9</v>
      </c>
      <c r="AR52" s="528">
        <f t="shared" ref="AR52" si="122">ROUND(AR53+AR54,0)</f>
        <v>9</v>
      </c>
      <c r="AS52" s="528">
        <f t="shared" ref="AS52" si="123">ROUND(AS53+AS54,0)</f>
        <v>9</v>
      </c>
      <c r="AT52" s="528">
        <f t="shared" ref="AT52" si="124">ROUND(AT53+AT54,0)</f>
        <v>10</v>
      </c>
      <c r="AU52" s="528">
        <f t="shared" ref="AU52" si="125">ROUND(AU53+AU54,0)</f>
        <v>10</v>
      </c>
      <c r="AV52" s="528">
        <f t="shared" ref="AV52" si="126">ROUND(AV53+AV54,0)</f>
        <v>10</v>
      </c>
      <c r="AW52" s="528">
        <f t="shared" ref="AW52" si="127">ROUND(AW53+AW54,0)</f>
        <v>11</v>
      </c>
      <c r="AX52" s="528">
        <f t="shared" ref="AX52" si="128">ROUND(AX53+AX54,0)</f>
        <v>11</v>
      </c>
      <c r="AY52" s="528">
        <f t="shared" ref="AY52" si="129">ROUND(AY53+AY54,0)</f>
        <v>11</v>
      </c>
      <c r="AZ52" s="528">
        <f t="shared" ref="AZ52" si="130">ROUND(AZ53+AZ54,0)</f>
        <v>12</v>
      </c>
      <c r="BA52" s="528">
        <f t="shared" ref="BA52" si="131">ROUND(BA53+BA54,0)</f>
        <v>12</v>
      </c>
      <c r="BB52" s="528">
        <f t="shared" ref="BB52" si="132">ROUND(BB53+BB54,0)</f>
        <v>12</v>
      </c>
      <c r="BC52" s="528">
        <f t="shared" ref="BC52" si="133">ROUND(BC53+BC54,0)</f>
        <v>12</v>
      </c>
      <c r="BD52" s="528">
        <f t="shared" ref="BD52" si="134">ROUND(BD53+BD54,0)</f>
        <v>12</v>
      </c>
      <c r="BE52" s="528">
        <f t="shared" ref="BE52" si="135">ROUND(BE53+BE54,0)</f>
        <v>13</v>
      </c>
      <c r="BF52" s="528">
        <f t="shared" ref="BF52" si="136">ROUND(BF53+BF54,0)</f>
        <v>13</v>
      </c>
      <c r="BG52" s="528">
        <f t="shared" ref="BG52" si="137">ROUND(BG53+BG54,0)</f>
        <v>14</v>
      </c>
      <c r="BH52" s="528">
        <f t="shared" ref="BH52" si="138">ROUND(BH53+BH54,0)</f>
        <v>14</v>
      </c>
      <c r="BI52" s="528">
        <f t="shared" ref="BI52" si="139">ROUND(BI53+BI54,0)</f>
        <v>14</v>
      </c>
    </row>
    <row r="53" spans="1:61" outlineLevel="1" x14ac:dyDescent="0.25">
      <c r="A53" s="542" t="str">
        <f>A50</f>
        <v>&gt; Brands</v>
      </c>
      <c r="B53" s="529">
        <f>ROUND(B50*$K$7,0)</f>
        <v>0</v>
      </c>
      <c r="C53" s="529">
        <f t="shared" ref="C53:BI53" si="140">ROUND(C50*$K$7,0)</f>
        <v>0</v>
      </c>
      <c r="D53" s="529">
        <f t="shared" si="140"/>
        <v>0</v>
      </c>
      <c r="E53" s="529">
        <f t="shared" si="140"/>
        <v>0</v>
      </c>
      <c r="F53" s="529">
        <f t="shared" si="140"/>
        <v>0</v>
      </c>
      <c r="G53" s="529">
        <f t="shared" si="140"/>
        <v>0</v>
      </c>
      <c r="H53" s="529">
        <f t="shared" si="140"/>
        <v>0</v>
      </c>
      <c r="I53" s="529">
        <f t="shared" si="140"/>
        <v>0</v>
      </c>
      <c r="J53" s="529">
        <f t="shared" si="140"/>
        <v>0</v>
      </c>
      <c r="K53" s="529">
        <f t="shared" si="140"/>
        <v>0</v>
      </c>
      <c r="L53" s="529">
        <f t="shared" si="140"/>
        <v>0</v>
      </c>
      <c r="M53" s="529">
        <f t="shared" si="140"/>
        <v>0</v>
      </c>
      <c r="N53" s="529">
        <f t="shared" si="140"/>
        <v>0</v>
      </c>
      <c r="O53" s="529">
        <f t="shared" si="140"/>
        <v>0</v>
      </c>
      <c r="P53" s="529">
        <f t="shared" si="140"/>
        <v>1</v>
      </c>
      <c r="Q53" s="529">
        <f t="shared" si="140"/>
        <v>1</v>
      </c>
      <c r="R53" s="529">
        <f t="shared" si="140"/>
        <v>1</v>
      </c>
      <c r="S53" s="529">
        <f t="shared" si="140"/>
        <v>1</v>
      </c>
      <c r="T53" s="529">
        <f t="shared" si="140"/>
        <v>1</v>
      </c>
      <c r="U53" s="529">
        <f t="shared" si="140"/>
        <v>1</v>
      </c>
      <c r="V53" s="529">
        <f t="shared" si="140"/>
        <v>1</v>
      </c>
      <c r="W53" s="529">
        <f t="shared" si="140"/>
        <v>1</v>
      </c>
      <c r="X53" s="529">
        <f t="shared" si="140"/>
        <v>1</v>
      </c>
      <c r="Y53" s="529">
        <f t="shared" si="140"/>
        <v>1</v>
      </c>
      <c r="Z53" s="529">
        <f t="shared" si="140"/>
        <v>1</v>
      </c>
      <c r="AA53" s="529">
        <f t="shared" si="140"/>
        <v>2</v>
      </c>
      <c r="AB53" s="529">
        <f t="shared" si="140"/>
        <v>2</v>
      </c>
      <c r="AC53" s="529">
        <f t="shared" si="140"/>
        <v>2</v>
      </c>
      <c r="AD53" s="529">
        <f t="shared" si="140"/>
        <v>2</v>
      </c>
      <c r="AE53" s="529">
        <f t="shared" si="140"/>
        <v>2</v>
      </c>
      <c r="AF53" s="529">
        <f t="shared" si="140"/>
        <v>2</v>
      </c>
      <c r="AG53" s="529">
        <f t="shared" si="140"/>
        <v>2</v>
      </c>
      <c r="AH53" s="529">
        <f t="shared" si="140"/>
        <v>2</v>
      </c>
      <c r="AI53" s="529">
        <f t="shared" si="140"/>
        <v>2</v>
      </c>
      <c r="AJ53" s="529">
        <f t="shared" si="140"/>
        <v>2</v>
      </c>
      <c r="AK53" s="529">
        <f t="shared" si="140"/>
        <v>2</v>
      </c>
      <c r="AL53" s="529">
        <f t="shared" si="140"/>
        <v>3</v>
      </c>
      <c r="AM53" s="529">
        <f t="shared" si="140"/>
        <v>3</v>
      </c>
      <c r="AN53" s="529">
        <f t="shared" si="140"/>
        <v>3</v>
      </c>
      <c r="AO53" s="529">
        <f t="shared" si="140"/>
        <v>3</v>
      </c>
      <c r="AP53" s="529">
        <f t="shared" si="140"/>
        <v>3</v>
      </c>
      <c r="AQ53" s="529">
        <f t="shared" si="140"/>
        <v>3</v>
      </c>
      <c r="AR53" s="529">
        <f t="shared" si="140"/>
        <v>3</v>
      </c>
      <c r="AS53" s="529">
        <f t="shared" si="140"/>
        <v>3</v>
      </c>
      <c r="AT53" s="529">
        <f t="shared" si="140"/>
        <v>3</v>
      </c>
      <c r="AU53" s="529">
        <f t="shared" si="140"/>
        <v>3</v>
      </c>
      <c r="AV53" s="529">
        <f t="shared" si="140"/>
        <v>3</v>
      </c>
      <c r="AW53" s="529">
        <f t="shared" si="140"/>
        <v>4</v>
      </c>
      <c r="AX53" s="529">
        <f t="shared" si="140"/>
        <v>4</v>
      </c>
      <c r="AY53" s="529">
        <f t="shared" si="140"/>
        <v>4</v>
      </c>
      <c r="AZ53" s="529">
        <f t="shared" si="140"/>
        <v>4</v>
      </c>
      <c r="BA53" s="529">
        <f t="shared" si="140"/>
        <v>4</v>
      </c>
      <c r="BB53" s="529">
        <f t="shared" si="140"/>
        <v>4</v>
      </c>
      <c r="BC53" s="529">
        <f t="shared" si="140"/>
        <v>4</v>
      </c>
      <c r="BD53" s="529">
        <f t="shared" si="140"/>
        <v>4</v>
      </c>
      <c r="BE53" s="529">
        <f t="shared" si="140"/>
        <v>4</v>
      </c>
      <c r="BF53" s="529">
        <f t="shared" si="140"/>
        <v>4</v>
      </c>
      <c r="BG53" s="529">
        <f t="shared" si="140"/>
        <v>5</v>
      </c>
      <c r="BH53" s="529">
        <f t="shared" si="140"/>
        <v>5</v>
      </c>
      <c r="BI53" s="529">
        <f t="shared" si="140"/>
        <v>5</v>
      </c>
    </row>
    <row r="54" spans="1:61" outlineLevel="1" x14ac:dyDescent="0.25">
      <c r="A54" s="542" t="str">
        <f>A51</f>
        <v>&gt; City halls</v>
      </c>
      <c r="B54" s="529">
        <f>ROUND(B51*$K$7,0)</f>
        <v>0</v>
      </c>
      <c r="C54" s="529">
        <f t="shared" ref="C54:BI54" si="141">ROUND(C51*$K$7,0)</f>
        <v>0</v>
      </c>
      <c r="D54" s="529">
        <f t="shared" si="141"/>
        <v>0</v>
      </c>
      <c r="E54" s="529">
        <f t="shared" si="141"/>
        <v>0</v>
      </c>
      <c r="F54" s="529">
        <f t="shared" si="141"/>
        <v>0</v>
      </c>
      <c r="G54" s="529">
        <f t="shared" si="141"/>
        <v>0</v>
      </c>
      <c r="H54" s="529">
        <f t="shared" si="141"/>
        <v>0</v>
      </c>
      <c r="I54" s="529">
        <f t="shared" si="141"/>
        <v>0</v>
      </c>
      <c r="J54" s="529">
        <f t="shared" si="141"/>
        <v>0</v>
      </c>
      <c r="K54" s="529">
        <f t="shared" si="141"/>
        <v>0</v>
      </c>
      <c r="L54" s="529">
        <f t="shared" si="141"/>
        <v>0</v>
      </c>
      <c r="M54" s="529">
        <f t="shared" si="141"/>
        <v>1</v>
      </c>
      <c r="N54" s="529">
        <f t="shared" si="141"/>
        <v>1</v>
      </c>
      <c r="O54" s="529">
        <f t="shared" si="141"/>
        <v>1</v>
      </c>
      <c r="P54" s="529">
        <f t="shared" si="141"/>
        <v>1</v>
      </c>
      <c r="Q54" s="529">
        <f t="shared" si="141"/>
        <v>1</v>
      </c>
      <c r="R54" s="529">
        <f t="shared" si="141"/>
        <v>1</v>
      </c>
      <c r="S54" s="529">
        <f t="shared" si="141"/>
        <v>2</v>
      </c>
      <c r="T54" s="529">
        <f t="shared" si="141"/>
        <v>2</v>
      </c>
      <c r="U54" s="529">
        <f t="shared" si="141"/>
        <v>2</v>
      </c>
      <c r="V54" s="529">
        <f t="shared" si="141"/>
        <v>2</v>
      </c>
      <c r="W54" s="529">
        <f t="shared" si="141"/>
        <v>2</v>
      </c>
      <c r="X54" s="529">
        <f t="shared" si="141"/>
        <v>3</v>
      </c>
      <c r="Y54" s="529">
        <f t="shared" si="141"/>
        <v>3</v>
      </c>
      <c r="Z54" s="529">
        <f t="shared" si="141"/>
        <v>3</v>
      </c>
      <c r="AA54" s="529">
        <f t="shared" si="141"/>
        <v>3</v>
      </c>
      <c r="AB54" s="529">
        <f t="shared" si="141"/>
        <v>3</v>
      </c>
      <c r="AC54" s="529">
        <f t="shared" si="141"/>
        <v>3</v>
      </c>
      <c r="AD54" s="529">
        <f t="shared" si="141"/>
        <v>4</v>
      </c>
      <c r="AE54" s="529">
        <f t="shared" si="141"/>
        <v>4</v>
      </c>
      <c r="AF54" s="529">
        <f t="shared" si="141"/>
        <v>4</v>
      </c>
      <c r="AG54" s="529">
        <f t="shared" si="141"/>
        <v>4</v>
      </c>
      <c r="AH54" s="529">
        <f t="shared" si="141"/>
        <v>4</v>
      </c>
      <c r="AI54" s="529">
        <f t="shared" si="141"/>
        <v>5</v>
      </c>
      <c r="AJ54" s="529">
        <f t="shared" si="141"/>
        <v>5</v>
      </c>
      <c r="AK54" s="529">
        <f t="shared" si="141"/>
        <v>5</v>
      </c>
      <c r="AL54" s="529">
        <f t="shared" si="141"/>
        <v>5</v>
      </c>
      <c r="AM54" s="529">
        <f t="shared" si="141"/>
        <v>5</v>
      </c>
      <c r="AN54" s="529">
        <f t="shared" si="141"/>
        <v>5</v>
      </c>
      <c r="AO54" s="529">
        <f t="shared" si="141"/>
        <v>6</v>
      </c>
      <c r="AP54" s="529">
        <f t="shared" si="141"/>
        <v>6</v>
      </c>
      <c r="AQ54" s="529">
        <f t="shared" si="141"/>
        <v>6</v>
      </c>
      <c r="AR54" s="529">
        <f t="shared" si="141"/>
        <v>6</v>
      </c>
      <c r="AS54" s="529">
        <f t="shared" si="141"/>
        <v>6</v>
      </c>
      <c r="AT54" s="529">
        <f t="shared" si="141"/>
        <v>7</v>
      </c>
      <c r="AU54" s="529">
        <f t="shared" si="141"/>
        <v>7</v>
      </c>
      <c r="AV54" s="529">
        <f t="shared" si="141"/>
        <v>7</v>
      </c>
      <c r="AW54" s="529">
        <f t="shared" si="141"/>
        <v>7</v>
      </c>
      <c r="AX54" s="529">
        <f t="shared" si="141"/>
        <v>7</v>
      </c>
      <c r="AY54" s="529">
        <f t="shared" si="141"/>
        <v>7</v>
      </c>
      <c r="AZ54" s="529">
        <f t="shared" si="141"/>
        <v>8</v>
      </c>
      <c r="BA54" s="529">
        <f t="shared" si="141"/>
        <v>8</v>
      </c>
      <c r="BB54" s="529">
        <f t="shared" si="141"/>
        <v>8</v>
      </c>
      <c r="BC54" s="529">
        <f t="shared" si="141"/>
        <v>8</v>
      </c>
      <c r="BD54" s="529">
        <f t="shared" si="141"/>
        <v>8</v>
      </c>
      <c r="BE54" s="529">
        <f t="shared" si="141"/>
        <v>9</v>
      </c>
      <c r="BF54" s="529">
        <f t="shared" si="141"/>
        <v>9</v>
      </c>
      <c r="BG54" s="529">
        <f t="shared" si="141"/>
        <v>9</v>
      </c>
      <c r="BH54" s="529">
        <f t="shared" si="141"/>
        <v>9</v>
      </c>
      <c r="BI54" s="529">
        <f t="shared" si="141"/>
        <v>9</v>
      </c>
    </row>
    <row r="55" spans="1:61" outlineLevel="1" x14ac:dyDescent="0.25">
      <c r="A55" s="17" t="s">
        <v>591</v>
      </c>
      <c r="B55" s="530">
        <f>B56+B57</f>
        <v>0</v>
      </c>
      <c r="C55" s="530">
        <f t="shared" ref="C55" si="142">C56+C57</f>
        <v>0</v>
      </c>
      <c r="D55" s="530">
        <f t="shared" ref="D55" si="143">D56+D57</f>
        <v>0</v>
      </c>
      <c r="E55" s="530">
        <f t="shared" ref="E55" si="144">E56+E57</f>
        <v>0</v>
      </c>
      <c r="F55" s="530">
        <f t="shared" ref="F55" si="145">F56+F57</f>
        <v>0</v>
      </c>
      <c r="G55" s="530">
        <f t="shared" ref="G55" si="146">G56+G57</f>
        <v>0</v>
      </c>
      <c r="H55" s="530">
        <f t="shared" ref="H55" si="147">H56+H57</f>
        <v>0</v>
      </c>
      <c r="I55" s="530">
        <f t="shared" ref="I55" si="148">I56+I57</f>
        <v>0</v>
      </c>
      <c r="J55" s="530">
        <f t="shared" ref="J55" si="149">J56+J57</f>
        <v>0</v>
      </c>
      <c r="K55" s="530">
        <f t="shared" ref="K55" si="150">K56+K57</f>
        <v>0</v>
      </c>
      <c r="L55" s="530">
        <f t="shared" ref="L55" si="151">L56+L57</f>
        <v>0</v>
      </c>
      <c r="M55" s="530">
        <f t="shared" ref="M55" si="152">M56+M57</f>
        <v>20000</v>
      </c>
      <c r="N55" s="530">
        <f t="shared" ref="N55" si="153">N56+N57</f>
        <v>20000</v>
      </c>
      <c r="O55" s="530">
        <f t="shared" ref="O55" si="154">O56+O57</f>
        <v>20000</v>
      </c>
      <c r="P55" s="530">
        <f t="shared" ref="P55" si="155">P56+P57</f>
        <v>40000</v>
      </c>
      <c r="Q55" s="530">
        <f t="shared" ref="Q55" si="156">Q56+Q57</f>
        <v>40000</v>
      </c>
      <c r="R55" s="530">
        <f t="shared" ref="R55" si="157">R56+R57</f>
        <v>40000</v>
      </c>
      <c r="S55" s="530">
        <f t="shared" ref="S55" si="158">S56+S57</f>
        <v>60000</v>
      </c>
      <c r="T55" s="530">
        <f t="shared" ref="T55" si="159">T56+T57</f>
        <v>60000</v>
      </c>
      <c r="U55" s="530">
        <f t="shared" ref="U55" si="160">U56+U57</f>
        <v>60000</v>
      </c>
      <c r="V55" s="530">
        <f t="shared" ref="V55" si="161">V56+V57</f>
        <v>60000</v>
      </c>
      <c r="W55" s="530">
        <f t="shared" ref="W55" si="162">W56+W57</f>
        <v>60000</v>
      </c>
      <c r="X55" s="530">
        <f t="shared" ref="X55" si="163">X56+X57</f>
        <v>80000</v>
      </c>
      <c r="Y55" s="530">
        <f t="shared" ref="Y55" si="164">Y56+Y57</f>
        <v>80000</v>
      </c>
      <c r="Z55" s="530">
        <f t="shared" ref="Z55" si="165">Z56+Z57</f>
        <v>80000</v>
      </c>
      <c r="AA55" s="530">
        <f t="shared" ref="AA55" si="166">AA56+AA57</f>
        <v>100000</v>
      </c>
      <c r="AB55" s="530">
        <f t="shared" ref="AB55" si="167">AB56+AB57</f>
        <v>100000</v>
      </c>
      <c r="AC55" s="530">
        <f t="shared" ref="AC55" si="168">AC56+AC57</f>
        <v>100000</v>
      </c>
      <c r="AD55" s="530">
        <f t="shared" ref="AD55" si="169">AD56+AD57</f>
        <v>120000</v>
      </c>
      <c r="AE55" s="530">
        <f t="shared" ref="AE55" si="170">AE56+AE57</f>
        <v>120000</v>
      </c>
      <c r="AF55" s="530">
        <f t="shared" ref="AF55" si="171">AF56+AF57</f>
        <v>120000</v>
      </c>
      <c r="AG55" s="530">
        <f t="shared" ref="AG55" si="172">AG56+AG57</f>
        <v>120000</v>
      </c>
      <c r="AH55" s="530">
        <f t="shared" ref="AH55" si="173">AH56+AH57</f>
        <v>120000</v>
      </c>
      <c r="AI55" s="530">
        <f t="shared" ref="AI55" si="174">AI56+AI57</f>
        <v>140000</v>
      </c>
      <c r="AJ55" s="530">
        <f t="shared" ref="AJ55" si="175">AJ56+AJ57</f>
        <v>140000</v>
      </c>
      <c r="AK55" s="530">
        <f t="shared" ref="AK55" si="176">AK56+AK57</f>
        <v>140000</v>
      </c>
      <c r="AL55" s="530">
        <f t="shared" ref="AL55" si="177">AL56+AL57</f>
        <v>160000</v>
      </c>
      <c r="AM55" s="530">
        <f t="shared" ref="AM55" si="178">AM56+AM57</f>
        <v>160000</v>
      </c>
      <c r="AN55" s="530">
        <f t="shared" ref="AN55" si="179">AN56+AN57</f>
        <v>160000</v>
      </c>
      <c r="AO55" s="530">
        <f t="shared" ref="AO55" si="180">AO56+AO57</f>
        <v>180000</v>
      </c>
      <c r="AP55" s="530">
        <f t="shared" ref="AP55" si="181">AP56+AP57</f>
        <v>180000</v>
      </c>
      <c r="AQ55" s="530">
        <f t="shared" ref="AQ55" si="182">AQ56+AQ57</f>
        <v>180000</v>
      </c>
      <c r="AR55" s="530">
        <f t="shared" ref="AR55" si="183">AR56+AR57</f>
        <v>180000</v>
      </c>
      <c r="AS55" s="530">
        <f t="shared" ref="AS55" si="184">AS56+AS57</f>
        <v>180000</v>
      </c>
      <c r="AT55" s="530">
        <f t="shared" ref="AT55" si="185">AT56+AT57</f>
        <v>200000</v>
      </c>
      <c r="AU55" s="530">
        <f t="shared" ref="AU55" si="186">AU56+AU57</f>
        <v>200000</v>
      </c>
      <c r="AV55" s="530">
        <f t="shared" ref="AV55" si="187">AV56+AV57</f>
        <v>200000</v>
      </c>
      <c r="AW55" s="530">
        <f t="shared" ref="AW55" si="188">AW56+AW57</f>
        <v>220000</v>
      </c>
      <c r="AX55" s="530">
        <f t="shared" ref="AX55" si="189">AX56+AX57</f>
        <v>220000</v>
      </c>
      <c r="AY55" s="530">
        <f t="shared" ref="AY55" si="190">AY56+AY57</f>
        <v>220000</v>
      </c>
      <c r="AZ55" s="530">
        <f t="shared" ref="AZ55" si="191">AZ56+AZ57</f>
        <v>240000</v>
      </c>
      <c r="BA55" s="530">
        <f t="shared" ref="BA55" si="192">BA56+BA57</f>
        <v>240000</v>
      </c>
      <c r="BB55" s="530">
        <f t="shared" ref="BB55" si="193">BB56+BB57</f>
        <v>240000</v>
      </c>
      <c r="BC55" s="530">
        <f t="shared" ref="BC55" si="194">BC56+BC57</f>
        <v>240000</v>
      </c>
      <c r="BD55" s="530">
        <f t="shared" ref="BD55" si="195">BD56+BD57</f>
        <v>240000</v>
      </c>
      <c r="BE55" s="530">
        <f t="shared" ref="BE55" si="196">BE56+BE57</f>
        <v>260000</v>
      </c>
      <c r="BF55" s="530">
        <f t="shared" ref="BF55" si="197">BF56+BF57</f>
        <v>260000</v>
      </c>
      <c r="BG55" s="530">
        <f t="shared" ref="BG55" si="198">BG56+BG57</f>
        <v>280000</v>
      </c>
      <c r="BH55" s="530">
        <f t="shared" ref="BH55" si="199">BH56+BH57</f>
        <v>280000</v>
      </c>
      <c r="BI55" s="530">
        <f t="shared" ref="BI55" si="200">BI56+BI57</f>
        <v>280000</v>
      </c>
    </row>
    <row r="56" spans="1:61" outlineLevel="1" x14ac:dyDescent="0.25">
      <c r="A56" s="542" t="str">
        <f>A53</f>
        <v>&gt; Brands</v>
      </c>
      <c r="B56" s="280">
        <f>B53*$I$8</f>
        <v>0</v>
      </c>
      <c r="C56" s="280">
        <f t="shared" ref="C56:BI56" si="201">C53*$I$8</f>
        <v>0</v>
      </c>
      <c r="D56" s="280">
        <f t="shared" si="201"/>
        <v>0</v>
      </c>
      <c r="E56" s="280">
        <f t="shared" si="201"/>
        <v>0</v>
      </c>
      <c r="F56" s="280">
        <f t="shared" si="201"/>
        <v>0</v>
      </c>
      <c r="G56" s="280">
        <f t="shared" si="201"/>
        <v>0</v>
      </c>
      <c r="H56" s="280">
        <f t="shared" si="201"/>
        <v>0</v>
      </c>
      <c r="I56" s="280">
        <f t="shared" si="201"/>
        <v>0</v>
      </c>
      <c r="J56" s="280">
        <f t="shared" si="201"/>
        <v>0</v>
      </c>
      <c r="K56" s="280">
        <f t="shared" si="201"/>
        <v>0</v>
      </c>
      <c r="L56" s="280">
        <f t="shared" si="201"/>
        <v>0</v>
      </c>
      <c r="M56" s="280">
        <f t="shared" si="201"/>
        <v>0</v>
      </c>
      <c r="N56" s="280">
        <f t="shared" si="201"/>
        <v>0</v>
      </c>
      <c r="O56" s="280">
        <f t="shared" si="201"/>
        <v>0</v>
      </c>
      <c r="P56" s="280">
        <f t="shared" si="201"/>
        <v>20000</v>
      </c>
      <c r="Q56" s="280">
        <f t="shared" si="201"/>
        <v>20000</v>
      </c>
      <c r="R56" s="280">
        <f t="shared" si="201"/>
        <v>20000</v>
      </c>
      <c r="S56" s="280">
        <f t="shared" si="201"/>
        <v>20000</v>
      </c>
      <c r="T56" s="280">
        <f t="shared" si="201"/>
        <v>20000</v>
      </c>
      <c r="U56" s="280">
        <f t="shared" si="201"/>
        <v>20000</v>
      </c>
      <c r="V56" s="280">
        <f t="shared" si="201"/>
        <v>20000</v>
      </c>
      <c r="W56" s="280">
        <f t="shared" si="201"/>
        <v>20000</v>
      </c>
      <c r="X56" s="280">
        <f t="shared" si="201"/>
        <v>20000</v>
      </c>
      <c r="Y56" s="280">
        <f t="shared" si="201"/>
        <v>20000</v>
      </c>
      <c r="Z56" s="280">
        <f t="shared" si="201"/>
        <v>20000</v>
      </c>
      <c r="AA56" s="280">
        <f t="shared" si="201"/>
        <v>40000</v>
      </c>
      <c r="AB56" s="280">
        <f t="shared" si="201"/>
        <v>40000</v>
      </c>
      <c r="AC56" s="280">
        <f t="shared" si="201"/>
        <v>40000</v>
      </c>
      <c r="AD56" s="280">
        <f t="shared" si="201"/>
        <v>40000</v>
      </c>
      <c r="AE56" s="280">
        <f t="shared" si="201"/>
        <v>40000</v>
      </c>
      <c r="AF56" s="280">
        <f t="shared" si="201"/>
        <v>40000</v>
      </c>
      <c r="AG56" s="280">
        <f t="shared" si="201"/>
        <v>40000</v>
      </c>
      <c r="AH56" s="280">
        <f t="shared" si="201"/>
        <v>40000</v>
      </c>
      <c r="AI56" s="280">
        <f t="shared" si="201"/>
        <v>40000</v>
      </c>
      <c r="AJ56" s="280">
        <f t="shared" si="201"/>
        <v>40000</v>
      </c>
      <c r="AK56" s="280">
        <f t="shared" si="201"/>
        <v>40000</v>
      </c>
      <c r="AL56" s="280">
        <f t="shared" si="201"/>
        <v>60000</v>
      </c>
      <c r="AM56" s="280">
        <f t="shared" si="201"/>
        <v>60000</v>
      </c>
      <c r="AN56" s="280">
        <f t="shared" si="201"/>
        <v>60000</v>
      </c>
      <c r="AO56" s="280">
        <f t="shared" si="201"/>
        <v>60000</v>
      </c>
      <c r="AP56" s="280">
        <f t="shared" si="201"/>
        <v>60000</v>
      </c>
      <c r="AQ56" s="280">
        <f t="shared" si="201"/>
        <v>60000</v>
      </c>
      <c r="AR56" s="280">
        <f t="shared" si="201"/>
        <v>60000</v>
      </c>
      <c r="AS56" s="280">
        <f t="shared" si="201"/>
        <v>60000</v>
      </c>
      <c r="AT56" s="280">
        <f t="shared" si="201"/>
        <v>60000</v>
      </c>
      <c r="AU56" s="280">
        <f t="shared" si="201"/>
        <v>60000</v>
      </c>
      <c r="AV56" s="280">
        <f t="shared" si="201"/>
        <v>60000</v>
      </c>
      <c r="AW56" s="280">
        <f t="shared" si="201"/>
        <v>80000</v>
      </c>
      <c r="AX56" s="280">
        <f t="shared" si="201"/>
        <v>80000</v>
      </c>
      <c r="AY56" s="280">
        <f t="shared" si="201"/>
        <v>80000</v>
      </c>
      <c r="AZ56" s="280">
        <f t="shared" si="201"/>
        <v>80000</v>
      </c>
      <c r="BA56" s="280">
        <f t="shared" si="201"/>
        <v>80000</v>
      </c>
      <c r="BB56" s="280">
        <f t="shared" si="201"/>
        <v>80000</v>
      </c>
      <c r="BC56" s="280">
        <f t="shared" si="201"/>
        <v>80000</v>
      </c>
      <c r="BD56" s="280">
        <f t="shared" si="201"/>
        <v>80000</v>
      </c>
      <c r="BE56" s="280">
        <f t="shared" si="201"/>
        <v>80000</v>
      </c>
      <c r="BF56" s="280">
        <f t="shared" si="201"/>
        <v>80000</v>
      </c>
      <c r="BG56" s="280">
        <f t="shared" si="201"/>
        <v>100000</v>
      </c>
      <c r="BH56" s="280">
        <f t="shared" si="201"/>
        <v>100000</v>
      </c>
      <c r="BI56" s="280">
        <f t="shared" si="201"/>
        <v>100000</v>
      </c>
    </row>
    <row r="57" spans="1:61" outlineLevel="1" x14ac:dyDescent="0.25">
      <c r="A57" s="542" t="str">
        <f>A54</f>
        <v>&gt; City halls</v>
      </c>
      <c r="B57" s="280">
        <f>B54*$I$8</f>
        <v>0</v>
      </c>
      <c r="C57" s="280">
        <f t="shared" ref="C57:BI57" si="202">C54*$I$8</f>
        <v>0</v>
      </c>
      <c r="D57" s="280">
        <f t="shared" si="202"/>
        <v>0</v>
      </c>
      <c r="E57" s="280">
        <f t="shared" si="202"/>
        <v>0</v>
      </c>
      <c r="F57" s="280">
        <f t="shared" si="202"/>
        <v>0</v>
      </c>
      <c r="G57" s="280">
        <f t="shared" si="202"/>
        <v>0</v>
      </c>
      <c r="H57" s="280">
        <f t="shared" si="202"/>
        <v>0</v>
      </c>
      <c r="I57" s="280">
        <f t="shared" si="202"/>
        <v>0</v>
      </c>
      <c r="J57" s="280">
        <f t="shared" si="202"/>
        <v>0</v>
      </c>
      <c r="K57" s="280">
        <f t="shared" si="202"/>
        <v>0</v>
      </c>
      <c r="L57" s="280">
        <f t="shared" si="202"/>
        <v>0</v>
      </c>
      <c r="M57" s="280">
        <f t="shared" si="202"/>
        <v>20000</v>
      </c>
      <c r="N57" s="280">
        <f t="shared" si="202"/>
        <v>20000</v>
      </c>
      <c r="O57" s="280">
        <f t="shared" si="202"/>
        <v>20000</v>
      </c>
      <c r="P57" s="280">
        <f t="shared" si="202"/>
        <v>20000</v>
      </c>
      <c r="Q57" s="280">
        <f t="shared" si="202"/>
        <v>20000</v>
      </c>
      <c r="R57" s="280">
        <f t="shared" si="202"/>
        <v>20000</v>
      </c>
      <c r="S57" s="280">
        <f t="shared" si="202"/>
        <v>40000</v>
      </c>
      <c r="T57" s="280">
        <f t="shared" si="202"/>
        <v>40000</v>
      </c>
      <c r="U57" s="280">
        <f t="shared" si="202"/>
        <v>40000</v>
      </c>
      <c r="V57" s="280">
        <f t="shared" si="202"/>
        <v>40000</v>
      </c>
      <c r="W57" s="280">
        <f t="shared" si="202"/>
        <v>40000</v>
      </c>
      <c r="X57" s="280">
        <f t="shared" si="202"/>
        <v>60000</v>
      </c>
      <c r="Y57" s="280">
        <f t="shared" si="202"/>
        <v>60000</v>
      </c>
      <c r="Z57" s="280">
        <f t="shared" si="202"/>
        <v>60000</v>
      </c>
      <c r="AA57" s="280">
        <f t="shared" si="202"/>
        <v>60000</v>
      </c>
      <c r="AB57" s="280">
        <f t="shared" si="202"/>
        <v>60000</v>
      </c>
      <c r="AC57" s="280">
        <f t="shared" si="202"/>
        <v>60000</v>
      </c>
      <c r="AD57" s="280">
        <f t="shared" si="202"/>
        <v>80000</v>
      </c>
      <c r="AE57" s="280">
        <f t="shared" si="202"/>
        <v>80000</v>
      </c>
      <c r="AF57" s="280">
        <f t="shared" si="202"/>
        <v>80000</v>
      </c>
      <c r="AG57" s="280">
        <f t="shared" si="202"/>
        <v>80000</v>
      </c>
      <c r="AH57" s="280">
        <f t="shared" si="202"/>
        <v>80000</v>
      </c>
      <c r="AI57" s="280">
        <f t="shared" si="202"/>
        <v>100000</v>
      </c>
      <c r="AJ57" s="280">
        <f t="shared" si="202"/>
        <v>100000</v>
      </c>
      <c r="AK57" s="280">
        <f t="shared" si="202"/>
        <v>100000</v>
      </c>
      <c r="AL57" s="280">
        <f t="shared" si="202"/>
        <v>100000</v>
      </c>
      <c r="AM57" s="280">
        <f t="shared" si="202"/>
        <v>100000</v>
      </c>
      <c r="AN57" s="280">
        <f t="shared" si="202"/>
        <v>100000</v>
      </c>
      <c r="AO57" s="280">
        <f t="shared" si="202"/>
        <v>120000</v>
      </c>
      <c r="AP57" s="280">
        <f t="shared" si="202"/>
        <v>120000</v>
      </c>
      <c r="AQ57" s="280">
        <f t="shared" si="202"/>
        <v>120000</v>
      </c>
      <c r="AR57" s="280">
        <f t="shared" si="202"/>
        <v>120000</v>
      </c>
      <c r="AS57" s="280">
        <f t="shared" si="202"/>
        <v>120000</v>
      </c>
      <c r="AT57" s="280">
        <f t="shared" si="202"/>
        <v>140000</v>
      </c>
      <c r="AU57" s="280">
        <f t="shared" si="202"/>
        <v>140000</v>
      </c>
      <c r="AV57" s="280">
        <f t="shared" si="202"/>
        <v>140000</v>
      </c>
      <c r="AW57" s="280">
        <f t="shared" si="202"/>
        <v>140000</v>
      </c>
      <c r="AX57" s="280">
        <f t="shared" si="202"/>
        <v>140000</v>
      </c>
      <c r="AY57" s="280">
        <f t="shared" si="202"/>
        <v>140000</v>
      </c>
      <c r="AZ57" s="280">
        <f t="shared" si="202"/>
        <v>160000</v>
      </c>
      <c r="BA57" s="280">
        <f t="shared" si="202"/>
        <v>160000</v>
      </c>
      <c r="BB57" s="280">
        <f t="shared" si="202"/>
        <v>160000</v>
      </c>
      <c r="BC57" s="280">
        <f t="shared" si="202"/>
        <v>160000</v>
      </c>
      <c r="BD57" s="280">
        <f t="shared" si="202"/>
        <v>160000</v>
      </c>
      <c r="BE57" s="280">
        <f t="shared" si="202"/>
        <v>180000</v>
      </c>
      <c r="BF57" s="280">
        <f t="shared" si="202"/>
        <v>180000</v>
      </c>
      <c r="BG57" s="280">
        <f t="shared" si="202"/>
        <v>180000</v>
      </c>
      <c r="BH57" s="280">
        <f t="shared" si="202"/>
        <v>180000</v>
      </c>
      <c r="BI57" s="280">
        <f t="shared" si="202"/>
        <v>180000</v>
      </c>
    </row>
    <row r="58" spans="1:61" outlineLevel="1" x14ac:dyDescent="0.25">
      <c r="A58" s="18" t="s">
        <v>593</v>
      </c>
      <c r="B58" s="530">
        <f>B52*$I$9</f>
        <v>0</v>
      </c>
      <c r="C58" s="530">
        <f t="shared" ref="C58:BI58" si="203">C52*$I$9</f>
        <v>0</v>
      </c>
      <c r="D58" s="530">
        <f t="shared" si="203"/>
        <v>0</v>
      </c>
      <c r="E58" s="530">
        <f t="shared" si="203"/>
        <v>0</v>
      </c>
      <c r="F58" s="530">
        <f t="shared" si="203"/>
        <v>0</v>
      </c>
      <c r="G58" s="530">
        <f t="shared" si="203"/>
        <v>0</v>
      </c>
      <c r="H58" s="530">
        <f t="shared" si="203"/>
        <v>0</v>
      </c>
      <c r="I58" s="530">
        <f t="shared" si="203"/>
        <v>0</v>
      </c>
      <c r="J58" s="530">
        <f t="shared" si="203"/>
        <v>0</v>
      </c>
      <c r="K58" s="530">
        <f t="shared" si="203"/>
        <v>0</v>
      </c>
      <c r="L58" s="530">
        <f t="shared" si="203"/>
        <v>0</v>
      </c>
      <c r="M58" s="530">
        <f t="shared" si="203"/>
        <v>10000</v>
      </c>
      <c r="N58" s="530">
        <f t="shared" si="203"/>
        <v>10000</v>
      </c>
      <c r="O58" s="530">
        <f t="shared" si="203"/>
        <v>10000</v>
      </c>
      <c r="P58" s="530">
        <f t="shared" si="203"/>
        <v>20000</v>
      </c>
      <c r="Q58" s="530">
        <f t="shared" si="203"/>
        <v>20000</v>
      </c>
      <c r="R58" s="530">
        <f t="shared" si="203"/>
        <v>20000</v>
      </c>
      <c r="S58" s="530">
        <f t="shared" si="203"/>
        <v>30000</v>
      </c>
      <c r="T58" s="530">
        <f t="shared" si="203"/>
        <v>30000</v>
      </c>
      <c r="U58" s="530">
        <f t="shared" si="203"/>
        <v>30000</v>
      </c>
      <c r="V58" s="530">
        <f t="shared" si="203"/>
        <v>30000</v>
      </c>
      <c r="W58" s="530">
        <f t="shared" si="203"/>
        <v>30000</v>
      </c>
      <c r="X58" s="530">
        <f t="shared" si="203"/>
        <v>40000</v>
      </c>
      <c r="Y58" s="530">
        <f t="shared" si="203"/>
        <v>40000</v>
      </c>
      <c r="Z58" s="530">
        <f t="shared" si="203"/>
        <v>40000</v>
      </c>
      <c r="AA58" s="530">
        <f t="shared" si="203"/>
        <v>50000</v>
      </c>
      <c r="AB58" s="530">
        <f t="shared" si="203"/>
        <v>50000</v>
      </c>
      <c r="AC58" s="530">
        <f t="shared" si="203"/>
        <v>50000</v>
      </c>
      <c r="AD58" s="530">
        <f t="shared" si="203"/>
        <v>60000</v>
      </c>
      <c r="AE58" s="530">
        <f t="shared" si="203"/>
        <v>60000</v>
      </c>
      <c r="AF58" s="530">
        <f t="shared" si="203"/>
        <v>60000</v>
      </c>
      <c r="AG58" s="530">
        <f t="shared" si="203"/>
        <v>60000</v>
      </c>
      <c r="AH58" s="530">
        <f t="shared" si="203"/>
        <v>60000</v>
      </c>
      <c r="AI58" s="530">
        <f t="shared" si="203"/>
        <v>70000</v>
      </c>
      <c r="AJ58" s="530">
        <f t="shared" si="203"/>
        <v>70000</v>
      </c>
      <c r="AK58" s="530">
        <f t="shared" si="203"/>
        <v>70000</v>
      </c>
      <c r="AL58" s="530">
        <f t="shared" si="203"/>
        <v>80000</v>
      </c>
      <c r="AM58" s="530">
        <f t="shared" si="203"/>
        <v>80000</v>
      </c>
      <c r="AN58" s="530">
        <f t="shared" si="203"/>
        <v>80000</v>
      </c>
      <c r="AO58" s="530">
        <f t="shared" si="203"/>
        <v>90000</v>
      </c>
      <c r="AP58" s="530">
        <f t="shared" si="203"/>
        <v>90000</v>
      </c>
      <c r="AQ58" s="530">
        <f t="shared" si="203"/>
        <v>90000</v>
      </c>
      <c r="AR58" s="530">
        <f t="shared" si="203"/>
        <v>90000</v>
      </c>
      <c r="AS58" s="530">
        <f t="shared" si="203"/>
        <v>90000</v>
      </c>
      <c r="AT58" s="530">
        <f t="shared" si="203"/>
        <v>100000</v>
      </c>
      <c r="AU58" s="530">
        <f t="shared" si="203"/>
        <v>100000</v>
      </c>
      <c r="AV58" s="530">
        <f t="shared" si="203"/>
        <v>100000</v>
      </c>
      <c r="AW58" s="530">
        <f t="shared" si="203"/>
        <v>110000</v>
      </c>
      <c r="AX58" s="530">
        <f t="shared" si="203"/>
        <v>110000</v>
      </c>
      <c r="AY58" s="530">
        <f t="shared" si="203"/>
        <v>110000</v>
      </c>
      <c r="AZ58" s="530">
        <f t="shared" si="203"/>
        <v>120000</v>
      </c>
      <c r="BA58" s="530">
        <f t="shared" si="203"/>
        <v>120000</v>
      </c>
      <c r="BB58" s="530">
        <f t="shared" si="203"/>
        <v>120000</v>
      </c>
      <c r="BC58" s="530">
        <f t="shared" si="203"/>
        <v>120000</v>
      </c>
      <c r="BD58" s="530">
        <f t="shared" si="203"/>
        <v>120000</v>
      </c>
      <c r="BE58" s="530">
        <f t="shared" si="203"/>
        <v>130000</v>
      </c>
      <c r="BF58" s="530">
        <f t="shared" si="203"/>
        <v>130000</v>
      </c>
      <c r="BG58" s="530">
        <f t="shared" si="203"/>
        <v>140000</v>
      </c>
      <c r="BH58" s="530">
        <f t="shared" si="203"/>
        <v>140000</v>
      </c>
      <c r="BI58" s="530">
        <f t="shared" si="203"/>
        <v>140000</v>
      </c>
    </row>
    <row r="59" spans="1:61" x14ac:dyDescent="0.25">
      <c r="A59" s="18"/>
      <c r="B59" s="530"/>
      <c r="C59" s="530"/>
      <c r="D59" s="530"/>
      <c r="E59" s="530"/>
      <c r="F59" s="530"/>
      <c r="G59" s="530"/>
      <c r="H59" s="530"/>
      <c r="I59" s="530"/>
      <c r="J59" s="530"/>
      <c r="K59" s="530"/>
      <c r="L59" s="530"/>
      <c r="M59" s="530"/>
      <c r="N59" s="530"/>
      <c r="O59" s="530"/>
      <c r="P59" s="530"/>
      <c r="Q59" s="530"/>
      <c r="R59" s="530"/>
      <c r="S59" s="530"/>
      <c r="T59" s="530"/>
      <c r="U59" s="530"/>
      <c r="V59" s="530"/>
      <c r="W59" s="530"/>
      <c r="X59" s="530"/>
      <c r="Y59" s="530"/>
      <c r="Z59" s="530"/>
      <c r="AA59" s="530"/>
      <c r="AB59" s="530"/>
      <c r="AC59" s="530"/>
      <c r="AD59" s="530"/>
      <c r="AE59" s="530"/>
      <c r="AF59" s="530"/>
      <c r="AG59" s="530"/>
      <c r="AH59" s="530"/>
      <c r="AI59" s="530"/>
      <c r="AJ59" s="530"/>
      <c r="AK59" s="530"/>
      <c r="AL59" s="530"/>
      <c r="AM59" s="530"/>
      <c r="AN59" s="530"/>
      <c r="AO59" s="530"/>
      <c r="AP59" s="530"/>
      <c r="AQ59" s="530"/>
      <c r="AR59" s="530"/>
      <c r="AS59" s="530"/>
      <c r="AT59" s="530"/>
      <c r="AU59" s="530"/>
      <c r="AV59" s="530"/>
      <c r="AW59" s="530"/>
      <c r="AX59" s="530"/>
      <c r="AY59" s="530"/>
      <c r="AZ59" s="530"/>
      <c r="BA59" s="530"/>
      <c r="BB59" s="530"/>
      <c r="BC59" s="530"/>
      <c r="BD59" s="530"/>
      <c r="BE59" s="530"/>
      <c r="BF59" s="530"/>
      <c r="BG59" s="530"/>
      <c r="BH59" s="530"/>
      <c r="BI59" s="530"/>
    </row>
    <row r="60" spans="1:61" s="534" customFormat="1" ht="20" customHeight="1" x14ac:dyDescent="0.25">
      <c r="A60" s="534" t="str">
        <f>E11</f>
        <v>Tournaments and events ticketing revenue</v>
      </c>
      <c r="B60" s="534">
        <f>B36</f>
        <v>43831</v>
      </c>
      <c r="C60" s="534">
        <f t="shared" ref="C60:BI60" si="204">C36</f>
        <v>43862</v>
      </c>
      <c r="D60" s="534">
        <f t="shared" si="204"/>
        <v>43891</v>
      </c>
      <c r="E60" s="534">
        <f t="shared" si="204"/>
        <v>43922</v>
      </c>
      <c r="F60" s="534">
        <f t="shared" si="204"/>
        <v>43952</v>
      </c>
      <c r="G60" s="534">
        <f t="shared" si="204"/>
        <v>43983</v>
      </c>
      <c r="H60" s="534">
        <f t="shared" si="204"/>
        <v>44013</v>
      </c>
      <c r="I60" s="534">
        <f t="shared" si="204"/>
        <v>44044</v>
      </c>
      <c r="J60" s="534">
        <f t="shared" si="204"/>
        <v>44075</v>
      </c>
      <c r="K60" s="534">
        <f t="shared" si="204"/>
        <v>44105</v>
      </c>
      <c r="L60" s="534">
        <f t="shared" si="204"/>
        <v>44136</v>
      </c>
      <c r="M60" s="534">
        <f t="shared" si="204"/>
        <v>44166</v>
      </c>
      <c r="N60" s="534">
        <f t="shared" si="204"/>
        <v>44197</v>
      </c>
      <c r="O60" s="534">
        <f t="shared" si="204"/>
        <v>44228</v>
      </c>
      <c r="P60" s="534">
        <f t="shared" si="204"/>
        <v>44259</v>
      </c>
      <c r="Q60" s="534">
        <f t="shared" si="204"/>
        <v>44290</v>
      </c>
      <c r="R60" s="534">
        <f t="shared" si="204"/>
        <v>44321</v>
      </c>
      <c r="S60" s="534">
        <f t="shared" si="204"/>
        <v>44352</v>
      </c>
      <c r="T60" s="534">
        <f t="shared" si="204"/>
        <v>44383</v>
      </c>
      <c r="U60" s="534">
        <f t="shared" si="204"/>
        <v>44414</v>
      </c>
      <c r="V60" s="534">
        <f t="shared" si="204"/>
        <v>44445</v>
      </c>
      <c r="W60" s="534">
        <f t="shared" si="204"/>
        <v>44476</v>
      </c>
      <c r="X60" s="534">
        <f t="shared" si="204"/>
        <v>44507</v>
      </c>
      <c r="Y60" s="534">
        <f t="shared" si="204"/>
        <v>44538</v>
      </c>
      <c r="Z60" s="534">
        <f t="shared" si="204"/>
        <v>44569</v>
      </c>
      <c r="AA60" s="534">
        <f t="shared" si="204"/>
        <v>44600</v>
      </c>
      <c r="AB60" s="534">
        <f t="shared" si="204"/>
        <v>44631</v>
      </c>
      <c r="AC60" s="534">
        <f t="shared" si="204"/>
        <v>44662</v>
      </c>
      <c r="AD60" s="534">
        <f t="shared" si="204"/>
        <v>44693</v>
      </c>
      <c r="AE60" s="534">
        <f t="shared" si="204"/>
        <v>44724</v>
      </c>
      <c r="AF60" s="534">
        <f t="shared" si="204"/>
        <v>44755</v>
      </c>
      <c r="AG60" s="534">
        <f t="shared" si="204"/>
        <v>44786</v>
      </c>
      <c r="AH60" s="534">
        <f t="shared" si="204"/>
        <v>44817</v>
      </c>
      <c r="AI60" s="534">
        <f t="shared" si="204"/>
        <v>44848</v>
      </c>
      <c r="AJ60" s="534">
        <f t="shared" si="204"/>
        <v>44879</v>
      </c>
      <c r="AK60" s="534">
        <f t="shared" si="204"/>
        <v>44910</v>
      </c>
      <c r="AL60" s="534">
        <f t="shared" si="204"/>
        <v>44941</v>
      </c>
      <c r="AM60" s="534">
        <f t="shared" si="204"/>
        <v>44972</v>
      </c>
      <c r="AN60" s="534">
        <f t="shared" si="204"/>
        <v>45003</v>
      </c>
      <c r="AO60" s="534">
        <f t="shared" si="204"/>
        <v>45034</v>
      </c>
      <c r="AP60" s="534">
        <f t="shared" si="204"/>
        <v>45065</v>
      </c>
      <c r="AQ60" s="534">
        <f t="shared" si="204"/>
        <v>45096</v>
      </c>
      <c r="AR60" s="534">
        <f t="shared" si="204"/>
        <v>45127</v>
      </c>
      <c r="AS60" s="534">
        <f t="shared" si="204"/>
        <v>45158</v>
      </c>
      <c r="AT60" s="534">
        <f t="shared" si="204"/>
        <v>45189</v>
      </c>
      <c r="AU60" s="534">
        <f t="shared" si="204"/>
        <v>45220</v>
      </c>
      <c r="AV60" s="534">
        <f t="shared" si="204"/>
        <v>45251</v>
      </c>
      <c r="AW60" s="534">
        <f t="shared" si="204"/>
        <v>45282</v>
      </c>
      <c r="AX60" s="534">
        <f t="shared" si="204"/>
        <v>45313</v>
      </c>
      <c r="AY60" s="534">
        <f t="shared" si="204"/>
        <v>45344</v>
      </c>
      <c r="AZ60" s="534">
        <f t="shared" si="204"/>
        <v>45375</v>
      </c>
      <c r="BA60" s="534">
        <f t="shared" si="204"/>
        <v>45406</v>
      </c>
      <c r="BB60" s="534">
        <f t="shared" si="204"/>
        <v>45437</v>
      </c>
      <c r="BC60" s="534">
        <f t="shared" si="204"/>
        <v>45468</v>
      </c>
      <c r="BD60" s="534">
        <f t="shared" si="204"/>
        <v>45499</v>
      </c>
      <c r="BE60" s="534">
        <f t="shared" si="204"/>
        <v>45530</v>
      </c>
      <c r="BF60" s="534">
        <f t="shared" si="204"/>
        <v>45561</v>
      </c>
      <c r="BG60" s="534">
        <f t="shared" si="204"/>
        <v>45592</v>
      </c>
      <c r="BH60" s="534">
        <f t="shared" si="204"/>
        <v>45623</v>
      </c>
      <c r="BI60" s="534">
        <f t="shared" si="204"/>
        <v>45654</v>
      </c>
    </row>
    <row r="61" spans="1:61" s="151" customFormat="1" outlineLevel="1" x14ac:dyDescent="0.25">
      <c r="A61" s="17" t="s">
        <v>609</v>
      </c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</row>
    <row r="62" spans="1:61" s="151" customFormat="1" outlineLevel="1" x14ac:dyDescent="0.25">
      <c r="A62" s="542" t="s">
        <v>610</v>
      </c>
      <c r="B62" s="162">
        <f>B24*$I$12</f>
        <v>2</v>
      </c>
      <c r="C62" s="162">
        <f t="shared" ref="C62:BI62" si="205">C24*$I$12</f>
        <v>4</v>
      </c>
      <c r="D62" s="162">
        <f t="shared" si="205"/>
        <v>6</v>
      </c>
      <c r="E62" s="162">
        <f t="shared" si="205"/>
        <v>8</v>
      </c>
      <c r="F62" s="162">
        <f t="shared" si="205"/>
        <v>10</v>
      </c>
      <c r="G62" s="162">
        <f t="shared" si="205"/>
        <v>12</v>
      </c>
      <c r="H62" s="162">
        <f t="shared" si="205"/>
        <v>14</v>
      </c>
      <c r="I62" s="162">
        <f t="shared" si="205"/>
        <v>20</v>
      </c>
      <c r="J62" s="162">
        <f t="shared" si="205"/>
        <v>28</v>
      </c>
      <c r="K62" s="162">
        <f t="shared" si="205"/>
        <v>40</v>
      </c>
      <c r="L62" s="162">
        <f t="shared" si="205"/>
        <v>56</v>
      </c>
      <c r="M62" s="162">
        <f t="shared" si="205"/>
        <v>76</v>
      </c>
      <c r="N62" s="162">
        <f t="shared" si="205"/>
        <v>96</v>
      </c>
      <c r="O62" s="162">
        <f t="shared" si="205"/>
        <v>116</v>
      </c>
      <c r="P62" s="162">
        <f t="shared" si="205"/>
        <v>136</v>
      </c>
      <c r="Q62" s="162">
        <f t="shared" si="205"/>
        <v>156</v>
      </c>
      <c r="R62" s="162">
        <f t="shared" si="205"/>
        <v>176</v>
      </c>
      <c r="S62" s="162">
        <f t="shared" si="205"/>
        <v>196</v>
      </c>
      <c r="T62" s="162">
        <f t="shared" si="205"/>
        <v>216</v>
      </c>
      <c r="U62" s="162">
        <f t="shared" si="205"/>
        <v>236</v>
      </c>
      <c r="V62" s="162">
        <f t="shared" si="205"/>
        <v>256</v>
      </c>
      <c r="W62" s="162">
        <f t="shared" si="205"/>
        <v>278</v>
      </c>
      <c r="X62" s="162">
        <f t="shared" si="205"/>
        <v>300</v>
      </c>
      <c r="Y62" s="162">
        <f t="shared" si="205"/>
        <v>322</v>
      </c>
      <c r="Z62" s="162">
        <f t="shared" si="205"/>
        <v>344</v>
      </c>
      <c r="AA62" s="162">
        <f t="shared" si="205"/>
        <v>366</v>
      </c>
      <c r="AB62" s="162">
        <f t="shared" si="205"/>
        <v>388</v>
      </c>
      <c r="AC62" s="162">
        <f t="shared" si="205"/>
        <v>410</v>
      </c>
      <c r="AD62" s="162">
        <f t="shared" si="205"/>
        <v>432</v>
      </c>
      <c r="AE62" s="162">
        <f t="shared" si="205"/>
        <v>454</v>
      </c>
      <c r="AF62" s="162">
        <f t="shared" si="205"/>
        <v>476</v>
      </c>
      <c r="AG62" s="162">
        <f t="shared" si="205"/>
        <v>498</v>
      </c>
      <c r="AH62" s="162">
        <f t="shared" si="205"/>
        <v>520</v>
      </c>
      <c r="AI62" s="162">
        <f t="shared" si="205"/>
        <v>542</v>
      </c>
      <c r="AJ62" s="162">
        <f t="shared" si="205"/>
        <v>564</v>
      </c>
      <c r="AK62" s="162">
        <f t="shared" si="205"/>
        <v>586</v>
      </c>
      <c r="AL62" s="162">
        <f t="shared" si="205"/>
        <v>608</v>
      </c>
      <c r="AM62" s="162">
        <f t="shared" si="205"/>
        <v>630</v>
      </c>
      <c r="AN62" s="162">
        <f t="shared" si="205"/>
        <v>652</v>
      </c>
      <c r="AO62" s="162">
        <f t="shared" si="205"/>
        <v>674</v>
      </c>
      <c r="AP62" s="162">
        <f t="shared" si="205"/>
        <v>696</v>
      </c>
      <c r="AQ62" s="162">
        <f t="shared" si="205"/>
        <v>718</v>
      </c>
      <c r="AR62" s="162">
        <f t="shared" si="205"/>
        <v>740</v>
      </c>
      <c r="AS62" s="162">
        <f t="shared" si="205"/>
        <v>762</v>
      </c>
      <c r="AT62" s="162">
        <f t="shared" si="205"/>
        <v>784</v>
      </c>
      <c r="AU62" s="162">
        <f t="shared" si="205"/>
        <v>806</v>
      </c>
      <c r="AV62" s="162">
        <f t="shared" si="205"/>
        <v>828</v>
      </c>
      <c r="AW62" s="162">
        <f t="shared" si="205"/>
        <v>850</v>
      </c>
      <c r="AX62" s="162">
        <f t="shared" si="205"/>
        <v>872</v>
      </c>
      <c r="AY62" s="162">
        <f t="shared" si="205"/>
        <v>894</v>
      </c>
      <c r="AZ62" s="162">
        <f t="shared" si="205"/>
        <v>916</v>
      </c>
      <c r="BA62" s="162">
        <f t="shared" si="205"/>
        <v>940</v>
      </c>
      <c r="BB62" s="162">
        <f t="shared" si="205"/>
        <v>964</v>
      </c>
      <c r="BC62" s="162">
        <f t="shared" si="205"/>
        <v>988</v>
      </c>
      <c r="BD62" s="162">
        <f t="shared" si="205"/>
        <v>1012</v>
      </c>
      <c r="BE62" s="162">
        <f t="shared" si="205"/>
        <v>1036</v>
      </c>
      <c r="BF62" s="162">
        <f t="shared" si="205"/>
        <v>1060</v>
      </c>
      <c r="BG62" s="162">
        <f t="shared" si="205"/>
        <v>1084</v>
      </c>
      <c r="BH62" s="162">
        <f t="shared" si="205"/>
        <v>1108</v>
      </c>
      <c r="BI62" s="162">
        <f t="shared" si="205"/>
        <v>1132</v>
      </c>
    </row>
    <row r="63" spans="1:61" s="151" customFormat="1" outlineLevel="1" x14ac:dyDescent="0.25">
      <c r="A63" s="542" t="s">
        <v>611</v>
      </c>
      <c r="B63" s="162">
        <f>B62*$I$13</f>
        <v>1</v>
      </c>
      <c r="C63" s="162">
        <f t="shared" ref="C63:BI63" si="206">C62*$I$13</f>
        <v>2</v>
      </c>
      <c r="D63" s="162">
        <f t="shared" si="206"/>
        <v>3</v>
      </c>
      <c r="E63" s="162">
        <f t="shared" si="206"/>
        <v>4</v>
      </c>
      <c r="F63" s="162">
        <f t="shared" si="206"/>
        <v>5</v>
      </c>
      <c r="G63" s="162">
        <f t="shared" si="206"/>
        <v>6</v>
      </c>
      <c r="H63" s="162">
        <f t="shared" si="206"/>
        <v>7</v>
      </c>
      <c r="I63" s="162">
        <f t="shared" si="206"/>
        <v>10</v>
      </c>
      <c r="J63" s="162">
        <f t="shared" si="206"/>
        <v>14</v>
      </c>
      <c r="K63" s="162">
        <f t="shared" si="206"/>
        <v>20</v>
      </c>
      <c r="L63" s="162">
        <f t="shared" si="206"/>
        <v>28</v>
      </c>
      <c r="M63" s="162">
        <f t="shared" si="206"/>
        <v>38</v>
      </c>
      <c r="N63" s="162">
        <f t="shared" si="206"/>
        <v>48</v>
      </c>
      <c r="O63" s="162">
        <f t="shared" si="206"/>
        <v>58</v>
      </c>
      <c r="P63" s="162">
        <f t="shared" si="206"/>
        <v>68</v>
      </c>
      <c r="Q63" s="162">
        <f t="shared" si="206"/>
        <v>78</v>
      </c>
      <c r="R63" s="162">
        <f t="shared" si="206"/>
        <v>88</v>
      </c>
      <c r="S63" s="162">
        <f t="shared" si="206"/>
        <v>98</v>
      </c>
      <c r="T63" s="162">
        <f t="shared" si="206"/>
        <v>108</v>
      </c>
      <c r="U63" s="162">
        <f t="shared" si="206"/>
        <v>118</v>
      </c>
      <c r="V63" s="162">
        <f t="shared" si="206"/>
        <v>128</v>
      </c>
      <c r="W63" s="162">
        <f t="shared" si="206"/>
        <v>139</v>
      </c>
      <c r="X63" s="162">
        <f t="shared" si="206"/>
        <v>150</v>
      </c>
      <c r="Y63" s="162">
        <f t="shared" si="206"/>
        <v>161</v>
      </c>
      <c r="Z63" s="162">
        <f t="shared" si="206"/>
        <v>172</v>
      </c>
      <c r="AA63" s="162">
        <f t="shared" si="206"/>
        <v>183</v>
      </c>
      <c r="AB63" s="162">
        <f t="shared" si="206"/>
        <v>194</v>
      </c>
      <c r="AC63" s="162">
        <f t="shared" si="206"/>
        <v>205</v>
      </c>
      <c r="AD63" s="162">
        <f t="shared" si="206"/>
        <v>216</v>
      </c>
      <c r="AE63" s="162">
        <f t="shared" si="206"/>
        <v>227</v>
      </c>
      <c r="AF63" s="162">
        <f t="shared" si="206"/>
        <v>238</v>
      </c>
      <c r="AG63" s="162">
        <f t="shared" si="206"/>
        <v>249</v>
      </c>
      <c r="AH63" s="162">
        <f t="shared" si="206"/>
        <v>260</v>
      </c>
      <c r="AI63" s="162">
        <f t="shared" si="206"/>
        <v>271</v>
      </c>
      <c r="AJ63" s="162">
        <f t="shared" si="206"/>
        <v>282</v>
      </c>
      <c r="AK63" s="162">
        <f t="shared" si="206"/>
        <v>293</v>
      </c>
      <c r="AL63" s="162">
        <f t="shared" si="206"/>
        <v>304</v>
      </c>
      <c r="AM63" s="162">
        <f t="shared" si="206"/>
        <v>315</v>
      </c>
      <c r="AN63" s="162">
        <f t="shared" si="206"/>
        <v>326</v>
      </c>
      <c r="AO63" s="162">
        <f t="shared" si="206"/>
        <v>337</v>
      </c>
      <c r="AP63" s="162">
        <f t="shared" si="206"/>
        <v>348</v>
      </c>
      <c r="AQ63" s="162">
        <f t="shared" si="206"/>
        <v>359</v>
      </c>
      <c r="AR63" s="162">
        <f t="shared" si="206"/>
        <v>370</v>
      </c>
      <c r="AS63" s="162">
        <f t="shared" si="206"/>
        <v>381</v>
      </c>
      <c r="AT63" s="162">
        <f t="shared" si="206"/>
        <v>392</v>
      </c>
      <c r="AU63" s="162">
        <f t="shared" si="206"/>
        <v>403</v>
      </c>
      <c r="AV63" s="162">
        <f t="shared" si="206"/>
        <v>414</v>
      </c>
      <c r="AW63" s="162">
        <f t="shared" si="206"/>
        <v>425</v>
      </c>
      <c r="AX63" s="162">
        <f t="shared" si="206"/>
        <v>436</v>
      </c>
      <c r="AY63" s="162">
        <f t="shared" si="206"/>
        <v>447</v>
      </c>
      <c r="AZ63" s="162">
        <f t="shared" si="206"/>
        <v>458</v>
      </c>
      <c r="BA63" s="162">
        <f t="shared" si="206"/>
        <v>470</v>
      </c>
      <c r="BB63" s="162">
        <f t="shared" si="206"/>
        <v>482</v>
      </c>
      <c r="BC63" s="162">
        <f t="shared" si="206"/>
        <v>494</v>
      </c>
      <c r="BD63" s="162">
        <f t="shared" si="206"/>
        <v>506</v>
      </c>
      <c r="BE63" s="162">
        <f t="shared" si="206"/>
        <v>518</v>
      </c>
      <c r="BF63" s="162">
        <f t="shared" si="206"/>
        <v>530</v>
      </c>
      <c r="BG63" s="162">
        <f t="shared" si="206"/>
        <v>542</v>
      </c>
      <c r="BH63" s="162">
        <f t="shared" si="206"/>
        <v>554</v>
      </c>
      <c r="BI63" s="162">
        <f t="shared" si="206"/>
        <v>566</v>
      </c>
    </row>
    <row r="64" spans="1:61" s="151" customFormat="1" outlineLevel="1" x14ac:dyDescent="0.25">
      <c r="A64" s="542" t="s">
        <v>612</v>
      </c>
      <c r="B64" s="158">
        <f>B63*$I$15*$I$14</f>
        <v>700</v>
      </c>
      <c r="C64" s="158">
        <f t="shared" ref="C64:BI64" si="207">C63*$I$15*$I$14</f>
        <v>1400</v>
      </c>
      <c r="D64" s="158">
        <f t="shared" si="207"/>
        <v>2100</v>
      </c>
      <c r="E64" s="158">
        <f t="shared" si="207"/>
        <v>2800</v>
      </c>
      <c r="F64" s="158">
        <f t="shared" si="207"/>
        <v>3500</v>
      </c>
      <c r="G64" s="158">
        <f t="shared" si="207"/>
        <v>4200</v>
      </c>
      <c r="H64" s="158">
        <f t="shared" si="207"/>
        <v>4900</v>
      </c>
      <c r="I64" s="158">
        <f t="shared" si="207"/>
        <v>7000</v>
      </c>
      <c r="J64" s="158">
        <f t="shared" si="207"/>
        <v>9800</v>
      </c>
      <c r="K64" s="158">
        <f t="shared" si="207"/>
        <v>14000</v>
      </c>
      <c r="L64" s="158">
        <f t="shared" si="207"/>
        <v>19600</v>
      </c>
      <c r="M64" s="158">
        <f t="shared" si="207"/>
        <v>26600</v>
      </c>
      <c r="N64" s="158">
        <f t="shared" si="207"/>
        <v>33600</v>
      </c>
      <c r="O64" s="158">
        <f t="shared" si="207"/>
        <v>40600</v>
      </c>
      <c r="P64" s="158">
        <f t="shared" si="207"/>
        <v>47600</v>
      </c>
      <c r="Q64" s="158">
        <f t="shared" si="207"/>
        <v>54600</v>
      </c>
      <c r="R64" s="158">
        <f t="shared" si="207"/>
        <v>61600</v>
      </c>
      <c r="S64" s="158">
        <f t="shared" si="207"/>
        <v>68600</v>
      </c>
      <c r="T64" s="158">
        <f t="shared" si="207"/>
        <v>75600</v>
      </c>
      <c r="U64" s="158">
        <f t="shared" si="207"/>
        <v>82600</v>
      </c>
      <c r="V64" s="158">
        <f t="shared" si="207"/>
        <v>89600</v>
      </c>
      <c r="W64" s="158">
        <f t="shared" si="207"/>
        <v>97300</v>
      </c>
      <c r="X64" s="158">
        <f t="shared" si="207"/>
        <v>105000</v>
      </c>
      <c r="Y64" s="158">
        <f t="shared" si="207"/>
        <v>112700</v>
      </c>
      <c r="Z64" s="158">
        <f t="shared" si="207"/>
        <v>120400</v>
      </c>
      <c r="AA64" s="158">
        <f t="shared" si="207"/>
        <v>128100</v>
      </c>
      <c r="AB64" s="158">
        <f t="shared" si="207"/>
        <v>135800</v>
      </c>
      <c r="AC64" s="158">
        <f t="shared" si="207"/>
        <v>143500</v>
      </c>
      <c r="AD64" s="158">
        <f t="shared" si="207"/>
        <v>151200</v>
      </c>
      <c r="AE64" s="158">
        <f t="shared" si="207"/>
        <v>158900</v>
      </c>
      <c r="AF64" s="158">
        <f t="shared" si="207"/>
        <v>166600</v>
      </c>
      <c r="AG64" s="158">
        <f t="shared" si="207"/>
        <v>174300</v>
      </c>
      <c r="AH64" s="158">
        <f t="shared" si="207"/>
        <v>182000</v>
      </c>
      <c r="AI64" s="158">
        <f t="shared" si="207"/>
        <v>189700</v>
      </c>
      <c r="AJ64" s="158">
        <f t="shared" si="207"/>
        <v>197400</v>
      </c>
      <c r="AK64" s="158">
        <f t="shared" si="207"/>
        <v>205100</v>
      </c>
      <c r="AL64" s="158">
        <f t="shared" si="207"/>
        <v>212800</v>
      </c>
      <c r="AM64" s="158">
        <f t="shared" si="207"/>
        <v>220500</v>
      </c>
      <c r="AN64" s="158">
        <f t="shared" si="207"/>
        <v>228200</v>
      </c>
      <c r="AO64" s="158">
        <f t="shared" si="207"/>
        <v>235900</v>
      </c>
      <c r="AP64" s="158">
        <f t="shared" si="207"/>
        <v>243600</v>
      </c>
      <c r="AQ64" s="158">
        <f t="shared" si="207"/>
        <v>251300</v>
      </c>
      <c r="AR64" s="158">
        <f t="shared" si="207"/>
        <v>259000</v>
      </c>
      <c r="AS64" s="158">
        <f t="shared" si="207"/>
        <v>266700</v>
      </c>
      <c r="AT64" s="158">
        <f t="shared" si="207"/>
        <v>274400</v>
      </c>
      <c r="AU64" s="158">
        <f t="shared" si="207"/>
        <v>282100</v>
      </c>
      <c r="AV64" s="158">
        <f t="shared" si="207"/>
        <v>289800</v>
      </c>
      <c r="AW64" s="158">
        <f t="shared" si="207"/>
        <v>297500</v>
      </c>
      <c r="AX64" s="158">
        <f t="shared" si="207"/>
        <v>305200</v>
      </c>
      <c r="AY64" s="158">
        <f t="shared" si="207"/>
        <v>312900</v>
      </c>
      <c r="AZ64" s="158">
        <f t="shared" si="207"/>
        <v>320600</v>
      </c>
      <c r="BA64" s="158">
        <f t="shared" si="207"/>
        <v>329000</v>
      </c>
      <c r="BB64" s="158">
        <f t="shared" si="207"/>
        <v>337400</v>
      </c>
      <c r="BC64" s="158">
        <f t="shared" si="207"/>
        <v>345800</v>
      </c>
      <c r="BD64" s="158">
        <f t="shared" si="207"/>
        <v>354200</v>
      </c>
      <c r="BE64" s="158">
        <f t="shared" si="207"/>
        <v>362600</v>
      </c>
      <c r="BF64" s="158">
        <f t="shared" si="207"/>
        <v>371000</v>
      </c>
      <c r="BG64" s="158">
        <f t="shared" si="207"/>
        <v>379400</v>
      </c>
      <c r="BH64" s="158">
        <f t="shared" si="207"/>
        <v>387800</v>
      </c>
      <c r="BI64" s="158">
        <f t="shared" si="207"/>
        <v>396200</v>
      </c>
    </row>
    <row r="65" spans="1:61" s="535" customFormat="1" outlineLevel="1" x14ac:dyDescent="0.25">
      <c r="A65" s="17" t="s">
        <v>396</v>
      </c>
      <c r="B65" s="165">
        <f>B64*$B$4</f>
        <v>28</v>
      </c>
      <c r="C65" s="165">
        <f t="shared" ref="C65:BI65" si="208">C64*$B$4</f>
        <v>56</v>
      </c>
      <c r="D65" s="165">
        <f t="shared" si="208"/>
        <v>84</v>
      </c>
      <c r="E65" s="165">
        <f t="shared" si="208"/>
        <v>112</v>
      </c>
      <c r="F65" s="165">
        <f t="shared" si="208"/>
        <v>140</v>
      </c>
      <c r="G65" s="165">
        <f t="shared" si="208"/>
        <v>168</v>
      </c>
      <c r="H65" s="165">
        <f t="shared" si="208"/>
        <v>196</v>
      </c>
      <c r="I65" s="165">
        <f t="shared" si="208"/>
        <v>280</v>
      </c>
      <c r="J65" s="165">
        <f t="shared" si="208"/>
        <v>392</v>
      </c>
      <c r="K65" s="165">
        <f t="shared" si="208"/>
        <v>560</v>
      </c>
      <c r="L65" s="165">
        <f t="shared" si="208"/>
        <v>784</v>
      </c>
      <c r="M65" s="165">
        <f t="shared" si="208"/>
        <v>1064</v>
      </c>
      <c r="N65" s="165">
        <f t="shared" si="208"/>
        <v>1344</v>
      </c>
      <c r="O65" s="165">
        <f t="shared" si="208"/>
        <v>1624</v>
      </c>
      <c r="P65" s="165">
        <f t="shared" si="208"/>
        <v>1904</v>
      </c>
      <c r="Q65" s="165">
        <f t="shared" si="208"/>
        <v>2184</v>
      </c>
      <c r="R65" s="165">
        <f t="shared" si="208"/>
        <v>2464</v>
      </c>
      <c r="S65" s="165">
        <f t="shared" si="208"/>
        <v>2744</v>
      </c>
      <c r="T65" s="165">
        <f t="shared" si="208"/>
        <v>3024</v>
      </c>
      <c r="U65" s="165">
        <f t="shared" si="208"/>
        <v>3304</v>
      </c>
      <c r="V65" s="165">
        <f t="shared" si="208"/>
        <v>3584</v>
      </c>
      <c r="W65" s="165">
        <f t="shared" si="208"/>
        <v>3892</v>
      </c>
      <c r="X65" s="165">
        <f t="shared" si="208"/>
        <v>4200</v>
      </c>
      <c r="Y65" s="165">
        <f t="shared" si="208"/>
        <v>4508</v>
      </c>
      <c r="Z65" s="165">
        <f t="shared" si="208"/>
        <v>4816</v>
      </c>
      <c r="AA65" s="165">
        <f t="shared" si="208"/>
        <v>5124</v>
      </c>
      <c r="AB65" s="165">
        <f t="shared" si="208"/>
        <v>5432</v>
      </c>
      <c r="AC65" s="165">
        <f t="shared" si="208"/>
        <v>5740</v>
      </c>
      <c r="AD65" s="165">
        <f t="shared" si="208"/>
        <v>6048</v>
      </c>
      <c r="AE65" s="165">
        <f t="shared" si="208"/>
        <v>6356</v>
      </c>
      <c r="AF65" s="165">
        <f t="shared" si="208"/>
        <v>6664</v>
      </c>
      <c r="AG65" s="165">
        <f t="shared" si="208"/>
        <v>6972</v>
      </c>
      <c r="AH65" s="165">
        <f t="shared" si="208"/>
        <v>7280</v>
      </c>
      <c r="AI65" s="165">
        <f t="shared" si="208"/>
        <v>7588</v>
      </c>
      <c r="AJ65" s="165">
        <f t="shared" si="208"/>
        <v>7896</v>
      </c>
      <c r="AK65" s="165">
        <f t="shared" si="208"/>
        <v>8204</v>
      </c>
      <c r="AL65" s="165">
        <f t="shared" si="208"/>
        <v>8512</v>
      </c>
      <c r="AM65" s="165">
        <f t="shared" si="208"/>
        <v>8820</v>
      </c>
      <c r="AN65" s="165">
        <f t="shared" si="208"/>
        <v>9128</v>
      </c>
      <c r="AO65" s="165">
        <f t="shared" si="208"/>
        <v>9436</v>
      </c>
      <c r="AP65" s="165">
        <f t="shared" si="208"/>
        <v>9744</v>
      </c>
      <c r="AQ65" s="165">
        <f t="shared" si="208"/>
        <v>10052</v>
      </c>
      <c r="AR65" s="165">
        <f t="shared" si="208"/>
        <v>10360</v>
      </c>
      <c r="AS65" s="165">
        <f t="shared" si="208"/>
        <v>10668</v>
      </c>
      <c r="AT65" s="165">
        <f t="shared" si="208"/>
        <v>10976</v>
      </c>
      <c r="AU65" s="165">
        <f t="shared" si="208"/>
        <v>11284</v>
      </c>
      <c r="AV65" s="165">
        <f t="shared" si="208"/>
        <v>11592</v>
      </c>
      <c r="AW65" s="165">
        <f t="shared" si="208"/>
        <v>11900</v>
      </c>
      <c r="AX65" s="165">
        <f t="shared" si="208"/>
        <v>12208</v>
      </c>
      <c r="AY65" s="165">
        <f t="shared" si="208"/>
        <v>12516</v>
      </c>
      <c r="AZ65" s="165">
        <f t="shared" si="208"/>
        <v>12824</v>
      </c>
      <c r="BA65" s="165">
        <f t="shared" si="208"/>
        <v>13160</v>
      </c>
      <c r="BB65" s="165">
        <f t="shared" si="208"/>
        <v>13496</v>
      </c>
      <c r="BC65" s="165">
        <f t="shared" si="208"/>
        <v>13832</v>
      </c>
      <c r="BD65" s="165">
        <f t="shared" si="208"/>
        <v>14168</v>
      </c>
      <c r="BE65" s="165">
        <f t="shared" si="208"/>
        <v>14504</v>
      </c>
      <c r="BF65" s="165">
        <f t="shared" si="208"/>
        <v>14840</v>
      </c>
      <c r="BG65" s="165">
        <f t="shared" si="208"/>
        <v>15176</v>
      </c>
      <c r="BH65" s="165">
        <f t="shared" si="208"/>
        <v>15512</v>
      </c>
      <c r="BI65" s="165">
        <f t="shared" si="208"/>
        <v>15848</v>
      </c>
    </row>
    <row r="66" spans="1:61" s="151" customFormat="1" outlineLevel="1" x14ac:dyDescent="0.25">
      <c r="A66" s="542" t="s">
        <v>613</v>
      </c>
      <c r="B66" s="158">
        <f>B64*$B$5</f>
        <v>14</v>
      </c>
      <c r="C66" s="158">
        <f t="shared" ref="C66:BI66" si="209">C64*$B$5</f>
        <v>28</v>
      </c>
      <c r="D66" s="158">
        <f t="shared" si="209"/>
        <v>42</v>
      </c>
      <c r="E66" s="158">
        <f t="shared" si="209"/>
        <v>56</v>
      </c>
      <c r="F66" s="158">
        <f t="shared" si="209"/>
        <v>70</v>
      </c>
      <c r="G66" s="158">
        <f t="shared" si="209"/>
        <v>84</v>
      </c>
      <c r="H66" s="158">
        <f t="shared" si="209"/>
        <v>98</v>
      </c>
      <c r="I66" s="158">
        <f t="shared" si="209"/>
        <v>140</v>
      </c>
      <c r="J66" s="158">
        <f t="shared" si="209"/>
        <v>196</v>
      </c>
      <c r="K66" s="158">
        <f t="shared" si="209"/>
        <v>280</v>
      </c>
      <c r="L66" s="158">
        <f t="shared" si="209"/>
        <v>392</v>
      </c>
      <c r="M66" s="158">
        <f t="shared" si="209"/>
        <v>532</v>
      </c>
      <c r="N66" s="158">
        <f t="shared" si="209"/>
        <v>672</v>
      </c>
      <c r="O66" s="158">
        <f t="shared" si="209"/>
        <v>812</v>
      </c>
      <c r="P66" s="158">
        <f t="shared" si="209"/>
        <v>952</v>
      </c>
      <c r="Q66" s="158">
        <f t="shared" si="209"/>
        <v>1092</v>
      </c>
      <c r="R66" s="158">
        <f t="shared" si="209"/>
        <v>1232</v>
      </c>
      <c r="S66" s="158">
        <f t="shared" si="209"/>
        <v>1372</v>
      </c>
      <c r="T66" s="158">
        <f t="shared" si="209"/>
        <v>1512</v>
      </c>
      <c r="U66" s="158">
        <f t="shared" si="209"/>
        <v>1652</v>
      </c>
      <c r="V66" s="158">
        <f t="shared" si="209"/>
        <v>1792</v>
      </c>
      <c r="W66" s="158">
        <f t="shared" si="209"/>
        <v>1946</v>
      </c>
      <c r="X66" s="158">
        <f t="shared" si="209"/>
        <v>2100</v>
      </c>
      <c r="Y66" s="158">
        <f t="shared" si="209"/>
        <v>2254</v>
      </c>
      <c r="Z66" s="158">
        <f t="shared" si="209"/>
        <v>2408</v>
      </c>
      <c r="AA66" s="158">
        <f t="shared" si="209"/>
        <v>2562</v>
      </c>
      <c r="AB66" s="158">
        <f t="shared" si="209"/>
        <v>2716</v>
      </c>
      <c r="AC66" s="158">
        <f t="shared" si="209"/>
        <v>2870</v>
      </c>
      <c r="AD66" s="158">
        <f t="shared" si="209"/>
        <v>3024</v>
      </c>
      <c r="AE66" s="158">
        <f t="shared" si="209"/>
        <v>3178</v>
      </c>
      <c r="AF66" s="158">
        <f t="shared" si="209"/>
        <v>3332</v>
      </c>
      <c r="AG66" s="158">
        <f t="shared" si="209"/>
        <v>3486</v>
      </c>
      <c r="AH66" s="158">
        <f t="shared" si="209"/>
        <v>3640</v>
      </c>
      <c r="AI66" s="158">
        <f t="shared" si="209"/>
        <v>3794</v>
      </c>
      <c r="AJ66" s="158">
        <f t="shared" si="209"/>
        <v>3948</v>
      </c>
      <c r="AK66" s="158">
        <f t="shared" si="209"/>
        <v>4102</v>
      </c>
      <c r="AL66" s="158">
        <f t="shared" si="209"/>
        <v>4256</v>
      </c>
      <c r="AM66" s="158">
        <f t="shared" si="209"/>
        <v>4410</v>
      </c>
      <c r="AN66" s="158">
        <f t="shared" si="209"/>
        <v>4564</v>
      </c>
      <c r="AO66" s="158">
        <f t="shared" si="209"/>
        <v>4718</v>
      </c>
      <c r="AP66" s="158">
        <f t="shared" si="209"/>
        <v>4872</v>
      </c>
      <c r="AQ66" s="158">
        <f t="shared" si="209"/>
        <v>5026</v>
      </c>
      <c r="AR66" s="158">
        <f t="shared" si="209"/>
        <v>5180</v>
      </c>
      <c r="AS66" s="158">
        <f t="shared" si="209"/>
        <v>5334</v>
      </c>
      <c r="AT66" s="158">
        <f t="shared" si="209"/>
        <v>5488</v>
      </c>
      <c r="AU66" s="158">
        <f t="shared" si="209"/>
        <v>5642</v>
      </c>
      <c r="AV66" s="158">
        <f t="shared" si="209"/>
        <v>5796</v>
      </c>
      <c r="AW66" s="158">
        <f t="shared" si="209"/>
        <v>5950</v>
      </c>
      <c r="AX66" s="158">
        <f t="shared" si="209"/>
        <v>6104</v>
      </c>
      <c r="AY66" s="158">
        <f t="shared" si="209"/>
        <v>6258</v>
      </c>
      <c r="AZ66" s="158">
        <f t="shared" si="209"/>
        <v>6412</v>
      </c>
      <c r="BA66" s="158">
        <f t="shared" si="209"/>
        <v>6580</v>
      </c>
      <c r="BB66" s="158">
        <f t="shared" si="209"/>
        <v>6748</v>
      </c>
      <c r="BC66" s="158">
        <f t="shared" si="209"/>
        <v>6916</v>
      </c>
      <c r="BD66" s="158">
        <f t="shared" si="209"/>
        <v>7084</v>
      </c>
      <c r="BE66" s="158">
        <f t="shared" si="209"/>
        <v>7252</v>
      </c>
      <c r="BF66" s="158">
        <f t="shared" si="209"/>
        <v>7420</v>
      </c>
      <c r="BG66" s="158">
        <f t="shared" si="209"/>
        <v>7588</v>
      </c>
      <c r="BH66" s="158">
        <f t="shared" si="209"/>
        <v>7756</v>
      </c>
      <c r="BI66" s="158">
        <f t="shared" si="209"/>
        <v>7924</v>
      </c>
    </row>
    <row r="67" spans="1:61" s="151" customFormat="1" outlineLevel="1" x14ac:dyDescent="0.25">
      <c r="A67" s="17" t="s">
        <v>614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</row>
    <row r="68" spans="1:61" s="151" customFormat="1" outlineLevel="1" x14ac:dyDescent="0.25">
      <c r="A68" s="542" t="s">
        <v>615</v>
      </c>
      <c r="B68" s="162">
        <f>ROUND(B24*$I$16,0)</f>
        <v>0</v>
      </c>
      <c r="C68" s="162">
        <f t="shared" ref="C68:BI68" si="210">ROUND(C24*$I$16,0)</f>
        <v>0</v>
      </c>
      <c r="D68" s="162">
        <f t="shared" si="210"/>
        <v>1</v>
      </c>
      <c r="E68" s="162">
        <f t="shared" si="210"/>
        <v>1</v>
      </c>
      <c r="F68" s="162">
        <f t="shared" si="210"/>
        <v>1</v>
      </c>
      <c r="G68" s="162">
        <f t="shared" si="210"/>
        <v>1</v>
      </c>
      <c r="H68" s="162">
        <f t="shared" si="210"/>
        <v>1</v>
      </c>
      <c r="I68" s="162">
        <f t="shared" si="210"/>
        <v>2</v>
      </c>
      <c r="J68" s="162">
        <f t="shared" si="210"/>
        <v>2</v>
      </c>
      <c r="K68" s="162">
        <f t="shared" si="210"/>
        <v>3</v>
      </c>
      <c r="L68" s="162">
        <f t="shared" si="210"/>
        <v>5</v>
      </c>
      <c r="M68" s="162">
        <f t="shared" si="210"/>
        <v>6</v>
      </c>
      <c r="N68" s="162">
        <f t="shared" si="210"/>
        <v>8</v>
      </c>
      <c r="O68" s="162">
        <f t="shared" si="210"/>
        <v>10</v>
      </c>
      <c r="P68" s="162">
        <f t="shared" si="210"/>
        <v>11</v>
      </c>
      <c r="Q68" s="162">
        <f t="shared" si="210"/>
        <v>13</v>
      </c>
      <c r="R68" s="162">
        <f t="shared" si="210"/>
        <v>15</v>
      </c>
      <c r="S68" s="162">
        <f t="shared" si="210"/>
        <v>16</v>
      </c>
      <c r="T68" s="162">
        <f t="shared" si="210"/>
        <v>18</v>
      </c>
      <c r="U68" s="162">
        <f t="shared" si="210"/>
        <v>20</v>
      </c>
      <c r="V68" s="162">
        <f t="shared" si="210"/>
        <v>21</v>
      </c>
      <c r="W68" s="162">
        <f t="shared" si="210"/>
        <v>23</v>
      </c>
      <c r="X68" s="162">
        <f t="shared" si="210"/>
        <v>25</v>
      </c>
      <c r="Y68" s="162">
        <f t="shared" si="210"/>
        <v>27</v>
      </c>
      <c r="Z68" s="162">
        <f t="shared" si="210"/>
        <v>29</v>
      </c>
      <c r="AA68" s="162">
        <f t="shared" si="210"/>
        <v>31</v>
      </c>
      <c r="AB68" s="162">
        <f t="shared" si="210"/>
        <v>32</v>
      </c>
      <c r="AC68" s="162">
        <f t="shared" si="210"/>
        <v>34</v>
      </c>
      <c r="AD68" s="162">
        <f t="shared" si="210"/>
        <v>36</v>
      </c>
      <c r="AE68" s="162">
        <f t="shared" si="210"/>
        <v>38</v>
      </c>
      <c r="AF68" s="162">
        <f t="shared" si="210"/>
        <v>40</v>
      </c>
      <c r="AG68" s="162">
        <f t="shared" si="210"/>
        <v>42</v>
      </c>
      <c r="AH68" s="162">
        <f t="shared" si="210"/>
        <v>43</v>
      </c>
      <c r="AI68" s="162">
        <f t="shared" si="210"/>
        <v>45</v>
      </c>
      <c r="AJ68" s="162">
        <f t="shared" si="210"/>
        <v>47</v>
      </c>
      <c r="AK68" s="162">
        <f t="shared" si="210"/>
        <v>49</v>
      </c>
      <c r="AL68" s="162">
        <f t="shared" si="210"/>
        <v>51</v>
      </c>
      <c r="AM68" s="162">
        <f t="shared" si="210"/>
        <v>53</v>
      </c>
      <c r="AN68" s="162">
        <f t="shared" si="210"/>
        <v>54</v>
      </c>
      <c r="AO68" s="162">
        <f t="shared" si="210"/>
        <v>56</v>
      </c>
      <c r="AP68" s="162">
        <f t="shared" si="210"/>
        <v>58</v>
      </c>
      <c r="AQ68" s="162">
        <f t="shared" si="210"/>
        <v>60</v>
      </c>
      <c r="AR68" s="162">
        <f t="shared" si="210"/>
        <v>62</v>
      </c>
      <c r="AS68" s="162">
        <f t="shared" si="210"/>
        <v>64</v>
      </c>
      <c r="AT68" s="162">
        <f t="shared" si="210"/>
        <v>65</v>
      </c>
      <c r="AU68" s="162">
        <f t="shared" si="210"/>
        <v>67</v>
      </c>
      <c r="AV68" s="162">
        <f t="shared" si="210"/>
        <v>69</v>
      </c>
      <c r="AW68" s="162">
        <f t="shared" si="210"/>
        <v>71</v>
      </c>
      <c r="AX68" s="162">
        <f t="shared" si="210"/>
        <v>73</v>
      </c>
      <c r="AY68" s="162">
        <f t="shared" si="210"/>
        <v>75</v>
      </c>
      <c r="AZ68" s="162">
        <f t="shared" si="210"/>
        <v>76</v>
      </c>
      <c r="BA68" s="162">
        <f t="shared" si="210"/>
        <v>78</v>
      </c>
      <c r="BB68" s="162">
        <f t="shared" si="210"/>
        <v>80</v>
      </c>
      <c r="BC68" s="162">
        <f t="shared" si="210"/>
        <v>82</v>
      </c>
      <c r="BD68" s="162">
        <f t="shared" si="210"/>
        <v>84</v>
      </c>
      <c r="BE68" s="162">
        <f t="shared" si="210"/>
        <v>86</v>
      </c>
      <c r="BF68" s="162">
        <f t="shared" si="210"/>
        <v>88</v>
      </c>
      <c r="BG68" s="162">
        <f t="shared" si="210"/>
        <v>90</v>
      </c>
      <c r="BH68" s="162">
        <f t="shared" si="210"/>
        <v>92</v>
      </c>
      <c r="BI68" s="162">
        <f t="shared" si="210"/>
        <v>94</v>
      </c>
    </row>
    <row r="69" spans="1:61" s="151" customFormat="1" outlineLevel="1" x14ac:dyDescent="0.25">
      <c r="A69" s="542" t="s">
        <v>616</v>
      </c>
      <c r="B69" s="162">
        <f>ROUND(B68*$I$17,0)</f>
        <v>0</v>
      </c>
      <c r="C69" s="162">
        <f t="shared" ref="C69:BI69" si="211">ROUND(C68*$I$17,0)</f>
        <v>0</v>
      </c>
      <c r="D69" s="162">
        <f t="shared" si="211"/>
        <v>1</v>
      </c>
      <c r="E69" s="162">
        <f t="shared" si="211"/>
        <v>1</v>
      </c>
      <c r="F69" s="162">
        <f t="shared" si="211"/>
        <v>1</v>
      </c>
      <c r="G69" s="162">
        <f t="shared" si="211"/>
        <v>1</v>
      </c>
      <c r="H69" s="162">
        <f t="shared" si="211"/>
        <v>1</v>
      </c>
      <c r="I69" s="162">
        <f t="shared" si="211"/>
        <v>1</v>
      </c>
      <c r="J69" s="162">
        <f t="shared" si="211"/>
        <v>1</v>
      </c>
      <c r="K69" s="162">
        <f t="shared" si="211"/>
        <v>2</v>
      </c>
      <c r="L69" s="162">
        <f t="shared" si="211"/>
        <v>4</v>
      </c>
      <c r="M69" s="162">
        <f t="shared" si="211"/>
        <v>4</v>
      </c>
      <c r="N69" s="162">
        <f t="shared" si="211"/>
        <v>6</v>
      </c>
      <c r="O69" s="162">
        <f t="shared" si="211"/>
        <v>7</v>
      </c>
      <c r="P69" s="162">
        <f t="shared" si="211"/>
        <v>8</v>
      </c>
      <c r="Q69" s="162">
        <f t="shared" si="211"/>
        <v>9</v>
      </c>
      <c r="R69" s="162">
        <f t="shared" si="211"/>
        <v>11</v>
      </c>
      <c r="S69" s="162">
        <f t="shared" si="211"/>
        <v>11</v>
      </c>
      <c r="T69" s="162">
        <f t="shared" si="211"/>
        <v>13</v>
      </c>
      <c r="U69" s="162">
        <f t="shared" si="211"/>
        <v>14</v>
      </c>
      <c r="V69" s="162">
        <f t="shared" si="211"/>
        <v>15</v>
      </c>
      <c r="W69" s="162">
        <f t="shared" si="211"/>
        <v>16</v>
      </c>
      <c r="X69" s="162">
        <f t="shared" si="211"/>
        <v>18</v>
      </c>
      <c r="Y69" s="162">
        <f t="shared" si="211"/>
        <v>19</v>
      </c>
      <c r="Z69" s="162">
        <f t="shared" si="211"/>
        <v>20</v>
      </c>
      <c r="AA69" s="162">
        <f t="shared" si="211"/>
        <v>22</v>
      </c>
      <c r="AB69" s="162">
        <f t="shared" si="211"/>
        <v>22</v>
      </c>
      <c r="AC69" s="162">
        <f t="shared" si="211"/>
        <v>24</v>
      </c>
      <c r="AD69" s="162">
        <f t="shared" si="211"/>
        <v>25</v>
      </c>
      <c r="AE69" s="162">
        <f t="shared" si="211"/>
        <v>27</v>
      </c>
      <c r="AF69" s="162">
        <f t="shared" si="211"/>
        <v>28</v>
      </c>
      <c r="AG69" s="162">
        <f t="shared" si="211"/>
        <v>29</v>
      </c>
      <c r="AH69" s="162">
        <f t="shared" si="211"/>
        <v>30</v>
      </c>
      <c r="AI69" s="162">
        <f t="shared" si="211"/>
        <v>32</v>
      </c>
      <c r="AJ69" s="162">
        <f t="shared" si="211"/>
        <v>33</v>
      </c>
      <c r="AK69" s="162">
        <f t="shared" si="211"/>
        <v>34</v>
      </c>
      <c r="AL69" s="162">
        <f t="shared" si="211"/>
        <v>36</v>
      </c>
      <c r="AM69" s="162">
        <f t="shared" si="211"/>
        <v>37</v>
      </c>
      <c r="AN69" s="162">
        <f t="shared" si="211"/>
        <v>38</v>
      </c>
      <c r="AO69" s="162">
        <f t="shared" si="211"/>
        <v>39</v>
      </c>
      <c r="AP69" s="162">
        <f t="shared" si="211"/>
        <v>41</v>
      </c>
      <c r="AQ69" s="162">
        <f t="shared" si="211"/>
        <v>42</v>
      </c>
      <c r="AR69" s="162">
        <f t="shared" si="211"/>
        <v>43</v>
      </c>
      <c r="AS69" s="162">
        <f t="shared" si="211"/>
        <v>45</v>
      </c>
      <c r="AT69" s="162">
        <f t="shared" si="211"/>
        <v>46</v>
      </c>
      <c r="AU69" s="162">
        <f t="shared" si="211"/>
        <v>47</v>
      </c>
      <c r="AV69" s="162">
        <f t="shared" si="211"/>
        <v>48</v>
      </c>
      <c r="AW69" s="162">
        <f t="shared" si="211"/>
        <v>50</v>
      </c>
      <c r="AX69" s="162">
        <f t="shared" si="211"/>
        <v>51</v>
      </c>
      <c r="AY69" s="162">
        <f t="shared" si="211"/>
        <v>53</v>
      </c>
      <c r="AZ69" s="162">
        <f t="shared" si="211"/>
        <v>53</v>
      </c>
      <c r="BA69" s="162">
        <f t="shared" si="211"/>
        <v>55</v>
      </c>
      <c r="BB69" s="162">
        <f t="shared" si="211"/>
        <v>56</v>
      </c>
      <c r="BC69" s="162">
        <f t="shared" si="211"/>
        <v>57</v>
      </c>
      <c r="BD69" s="162">
        <f t="shared" si="211"/>
        <v>59</v>
      </c>
      <c r="BE69" s="162">
        <f t="shared" si="211"/>
        <v>60</v>
      </c>
      <c r="BF69" s="162">
        <f t="shared" si="211"/>
        <v>62</v>
      </c>
      <c r="BG69" s="162">
        <f t="shared" si="211"/>
        <v>63</v>
      </c>
      <c r="BH69" s="162">
        <f t="shared" si="211"/>
        <v>64</v>
      </c>
      <c r="BI69" s="162">
        <f t="shared" si="211"/>
        <v>66</v>
      </c>
    </row>
    <row r="70" spans="1:61" s="151" customFormat="1" outlineLevel="1" x14ac:dyDescent="0.25">
      <c r="A70" s="542" t="s">
        <v>617</v>
      </c>
      <c r="B70" s="158">
        <f>B69*$I$18*$I$20</f>
        <v>0</v>
      </c>
      <c r="C70" s="158">
        <f t="shared" ref="C70:BI70" si="212">C69*$I$18*$I$20</f>
        <v>0</v>
      </c>
      <c r="D70" s="158">
        <f t="shared" si="212"/>
        <v>4000</v>
      </c>
      <c r="E70" s="158">
        <f t="shared" si="212"/>
        <v>4000</v>
      </c>
      <c r="F70" s="158">
        <f t="shared" si="212"/>
        <v>4000</v>
      </c>
      <c r="G70" s="158">
        <f t="shared" si="212"/>
        <v>4000</v>
      </c>
      <c r="H70" s="158">
        <f t="shared" si="212"/>
        <v>4000</v>
      </c>
      <c r="I70" s="158">
        <f t="shared" si="212"/>
        <v>4000</v>
      </c>
      <c r="J70" s="158">
        <f t="shared" si="212"/>
        <v>4000</v>
      </c>
      <c r="K70" s="158">
        <f t="shared" si="212"/>
        <v>8000</v>
      </c>
      <c r="L70" s="158">
        <f t="shared" si="212"/>
        <v>16000</v>
      </c>
      <c r="M70" s="158">
        <f t="shared" si="212"/>
        <v>16000</v>
      </c>
      <c r="N70" s="158">
        <f t="shared" si="212"/>
        <v>24000</v>
      </c>
      <c r="O70" s="158">
        <f t="shared" si="212"/>
        <v>28000</v>
      </c>
      <c r="P70" s="158">
        <f t="shared" si="212"/>
        <v>32000</v>
      </c>
      <c r="Q70" s="158">
        <f t="shared" si="212"/>
        <v>36000</v>
      </c>
      <c r="R70" s="158">
        <f t="shared" si="212"/>
        <v>44000</v>
      </c>
      <c r="S70" s="158">
        <f t="shared" si="212"/>
        <v>44000</v>
      </c>
      <c r="T70" s="158">
        <f t="shared" si="212"/>
        <v>52000</v>
      </c>
      <c r="U70" s="158">
        <f t="shared" si="212"/>
        <v>56000</v>
      </c>
      <c r="V70" s="158">
        <f t="shared" si="212"/>
        <v>60000</v>
      </c>
      <c r="W70" s="158">
        <f t="shared" si="212"/>
        <v>64000</v>
      </c>
      <c r="X70" s="158">
        <f t="shared" si="212"/>
        <v>72000</v>
      </c>
      <c r="Y70" s="158">
        <f t="shared" si="212"/>
        <v>76000</v>
      </c>
      <c r="Z70" s="158">
        <f t="shared" si="212"/>
        <v>80000</v>
      </c>
      <c r="AA70" s="158">
        <f t="shared" si="212"/>
        <v>88000</v>
      </c>
      <c r="AB70" s="158">
        <f t="shared" si="212"/>
        <v>88000</v>
      </c>
      <c r="AC70" s="158">
        <f t="shared" si="212"/>
        <v>96000</v>
      </c>
      <c r="AD70" s="158">
        <f t="shared" si="212"/>
        <v>100000</v>
      </c>
      <c r="AE70" s="158">
        <f t="shared" si="212"/>
        <v>108000</v>
      </c>
      <c r="AF70" s="158">
        <f t="shared" si="212"/>
        <v>112000</v>
      </c>
      <c r="AG70" s="158">
        <f t="shared" si="212"/>
        <v>116000</v>
      </c>
      <c r="AH70" s="158">
        <f t="shared" si="212"/>
        <v>120000</v>
      </c>
      <c r="AI70" s="158">
        <f t="shared" si="212"/>
        <v>128000</v>
      </c>
      <c r="AJ70" s="158">
        <f t="shared" si="212"/>
        <v>132000</v>
      </c>
      <c r="AK70" s="158">
        <f t="shared" si="212"/>
        <v>136000</v>
      </c>
      <c r="AL70" s="158">
        <f t="shared" si="212"/>
        <v>144000</v>
      </c>
      <c r="AM70" s="158">
        <f t="shared" si="212"/>
        <v>148000</v>
      </c>
      <c r="AN70" s="158">
        <f t="shared" si="212"/>
        <v>152000</v>
      </c>
      <c r="AO70" s="158">
        <f t="shared" si="212"/>
        <v>156000</v>
      </c>
      <c r="AP70" s="158">
        <f t="shared" si="212"/>
        <v>164000</v>
      </c>
      <c r="AQ70" s="158">
        <f t="shared" si="212"/>
        <v>168000</v>
      </c>
      <c r="AR70" s="158">
        <f t="shared" si="212"/>
        <v>172000</v>
      </c>
      <c r="AS70" s="158">
        <f t="shared" si="212"/>
        <v>180000</v>
      </c>
      <c r="AT70" s="158">
        <f t="shared" si="212"/>
        <v>184000</v>
      </c>
      <c r="AU70" s="158">
        <f t="shared" si="212"/>
        <v>188000</v>
      </c>
      <c r="AV70" s="158">
        <f t="shared" si="212"/>
        <v>192000</v>
      </c>
      <c r="AW70" s="158">
        <f t="shared" si="212"/>
        <v>200000</v>
      </c>
      <c r="AX70" s="158">
        <f t="shared" si="212"/>
        <v>204000</v>
      </c>
      <c r="AY70" s="158">
        <f t="shared" si="212"/>
        <v>212000</v>
      </c>
      <c r="AZ70" s="158">
        <f t="shared" si="212"/>
        <v>212000</v>
      </c>
      <c r="BA70" s="158">
        <f t="shared" si="212"/>
        <v>220000</v>
      </c>
      <c r="BB70" s="158">
        <f t="shared" si="212"/>
        <v>224000</v>
      </c>
      <c r="BC70" s="158">
        <f t="shared" si="212"/>
        <v>228000</v>
      </c>
      <c r="BD70" s="158">
        <f t="shared" si="212"/>
        <v>236000</v>
      </c>
      <c r="BE70" s="158">
        <f t="shared" si="212"/>
        <v>240000</v>
      </c>
      <c r="BF70" s="158">
        <f t="shared" si="212"/>
        <v>248000</v>
      </c>
      <c r="BG70" s="158">
        <f t="shared" si="212"/>
        <v>252000</v>
      </c>
      <c r="BH70" s="158">
        <f t="shared" si="212"/>
        <v>256000</v>
      </c>
      <c r="BI70" s="158">
        <f t="shared" si="212"/>
        <v>264000</v>
      </c>
    </row>
    <row r="71" spans="1:61" s="151" customFormat="1" outlineLevel="1" x14ac:dyDescent="0.25">
      <c r="A71" s="542" t="s">
        <v>618</v>
      </c>
      <c r="B71" s="158">
        <f>B69*$I$19*$I$21</f>
        <v>0</v>
      </c>
      <c r="C71" s="158">
        <f t="shared" ref="C71:BI71" si="213">C69*$I$19*$I$21</f>
        <v>0</v>
      </c>
      <c r="D71" s="158">
        <f t="shared" si="213"/>
        <v>2250</v>
      </c>
      <c r="E71" s="158">
        <f t="shared" si="213"/>
        <v>2250</v>
      </c>
      <c r="F71" s="158">
        <f t="shared" si="213"/>
        <v>2250</v>
      </c>
      <c r="G71" s="158">
        <f t="shared" si="213"/>
        <v>2250</v>
      </c>
      <c r="H71" s="158">
        <f t="shared" si="213"/>
        <v>2250</v>
      </c>
      <c r="I71" s="158">
        <f t="shared" si="213"/>
        <v>2250</v>
      </c>
      <c r="J71" s="158">
        <f t="shared" si="213"/>
        <v>2250</v>
      </c>
      <c r="K71" s="158">
        <f t="shared" si="213"/>
        <v>4500</v>
      </c>
      <c r="L71" s="158">
        <f t="shared" si="213"/>
        <v>9000</v>
      </c>
      <c r="M71" s="158">
        <f t="shared" si="213"/>
        <v>9000</v>
      </c>
      <c r="N71" s="158">
        <f t="shared" si="213"/>
        <v>13500</v>
      </c>
      <c r="O71" s="158">
        <f t="shared" si="213"/>
        <v>15750</v>
      </c>
      <c r="P71" s="158">
        <f t="shared" si="213"/>
        <v>18000</v>
      </c>
      <c r="Q71" s="158">
        <f t="shared" si="213"/>
        <v>20250</v>
      </c>
      <c r="R71" s="158">
        <f t="shared" si="213"/>
        <v>24750</v>
      </c>
      <c r="S71" s="158">
        <f t="shared" si="213"/>
        <v>24750</v>
      </c>
      <c r="T71" s="158">
        <f t="shared" si="213"/>
        <v>29250</v>
      </c>
      <c r="U71" s="158">
        <f t="shared" si="213"/>
        <v>31500</v>
      </c>
      <c r="V71" s="158">
        <f t="shared" si="213"/>
        <v>33750</v>
      </c>
      <c r="W71" s="158">
        <f t="shared" si="213"/>
        <v>36000</v>
      </c>
      <c r="X71" s="158">
        <f t="shared" si="213"/>
        <v>40500</v>
      </c>
      <c r="Y71" s="158">
        <f t="shared" si="213"/>
        <v>42750</v>
      </c>
      <c r="Z71" s="158">
        <f t="shared" si="213"/>
        <v>45000</v>
      </c>
      <c r="AA71" s="158">
        <f t="shared" si="213"/>
        <v>49500</v>
      </c>
      <c r="AB71" s="158">
        <f t="shared" si="213"/>
        <v>49500</v>
      </c>
      <c r="AC71" s="158">
        <f t="shared" si="213"/>
        <v>54000</v>
      </c>
      <c r="AD71" s="158">
        <f t="shared" si="213"/>
        <v>56250</v>
      </c>
      <c r="AE71" s="158">
        <f t="shared" si="213"/>
        <v>60750</v>
      </c>
      <c r="AF71" s="158">
        <f t="shared" si="213"/>
        <v>63000</v>
      </c>
      <c r="AG71" s="158">
        <f t="shared" si="213"/>
        <v>65250</v>
      </c>
      <c r="AH71" s="158">
        <f t="shared" si="213"/>
        <v>67500</v>
      </c>
      <c r="AI71" s="158">
        <f t="shared" si="213"/>
        <v>72000</v>
      </c>
      <c r="AJ71" s="158">
        <f t="shared" si="213"/>
        <v>74250</v>
      </c>
      <c r="AK71" s="158">
        <f t="shared" si="213"/>
        <v>76500</v>
      </c>
      <c r="AL71" s="158">
        <f t="shared" si="213"/>
        <v>81000</v>
      </c>
      <c r="AM71" s="158">
        <f t="shared" si="213"/>
        <v>83250</v>
      </c>
      <c r="AN71" s="158">
        <f t="shared" si="213"/>
        <v>85500</v>
      </c>
      <c r="AO71" s="158">
        <f t="shared" si="213"/>
        <v>87750</v>
      </c>
      <c r="AP71" s="158">
        <f t="shared" si="213"/>
        <v>92250</v>
      </c>
      <c r="AQ71" s="158">
        <f t="shared" si="213"/>
        <v>94500</v>
      </c>
      <c r="AR71" s="158">
        <f t="shared" si="213"/>
        <v>96750</v>
      </c>
      <c r="AS71" s="158">
        <f t="shared" si="213"/>
        <v>101250</v>
      </c>
      <c r="AT71" s="158">
        <f t="shared" si="213"/>
        <v>103500</v>
      </c>
      <c r="AU71" s="158">
        <f t="shared" si="213"/>
        <v>105750</v>
      </c>
      <c r="AV71" s="158">
        <f t="shared" si="213"/>
        <v>108000</v>
      </c>
      <c r="AW71" s="158">
        <f t="shared" si="213"/>
        <v>112500</v>
      </c>
      <c r="AX71" s="158">
        <f t="shared" si="213"/>
        <v>114750</v>
      </c>
      <c r="AY71" s="158">
        <f t="shared" si="213"/>
        <v>119250</v>
      </c>
      <c r="AZ71" s="158">
        <f t="shared" si="213"/>
        <v>119250</v>
      </c>
      <c r="BA71" s="158">
        <f t="shared" si="213"/>
        <v>123750</v>
      </c>
      <c r="BB71" s="158">
        <f t="shared" si="213"/>
        <v>126000</v>
      </c>
      <c r="BC71" s="158">
        <f t="shared" si="213"/>
        <v>128250</v>
      </c>
      <c r="BD71" s="158">
        <f t="shared" si="213"/>
        <v>132750</v>
      </c>
      <c r="BE71" s="158">
        <f t="shared" si="213"/>
        <v>135000</v>
      </c>
      <c r="BF71" s="158">
        <f t="shared" si="213"/>
        <v>139500</v>
      </c>
      <c r="BG71" s="158">
        <f t="shared" si="213"/>
        <v>141750</v>
      </c>
      <c r="BH71" s="158">
        <f t="shared" si="213"/>
        <v>144000</v>
      </c>
      <c r="BI71" s="158">
        <f t="shared" si="213"/>
        <v>148500</v>
      </c>
    </row>
    <row r="72" spans="1:61" s="151" customFormat="1" outlineLevel="1" x14ac:dyDescent="0.25">
      <c r="A72" s="542" t="s">
        <v>619</v>
      </c>
      <c r="B72" s="158">
        <f>B71+B70</f>
        <v>0</v>
      </c>
      <c r="C72" s="158">
        <f t="shared" ref="C72:BI72" si="214">C71+C70</f>
        <v>0</v>
      </c>
      <c r="D72" s="158">
        <f t="shared" si="214"/>
        <v>6250</v>
      </c>
      <c r="E72" s="158">
        <f t="shared" si="214"/>
        <v>6250</v>
      </c>
      <c r="F72" s="158">
        <f t="shared" si="214"/>
        <v>6250</v>
      </c>
      <c r="G72" s="158">
        <f t="shared" si="214"/>
        <v>6250</v>
      </c>
      <c r="H72" s="158">
        <f t="shared" si="214"/>
        <v>6250</v>
      </c>
      <c r="I72" s="158">
        <f t="shared" si="214"/>
        <v>6250</v>
      </c>
      <c r="J72" s="158">
        <f t="shared" si="214"/>
        <v>6250</v>
      </c>
      <c r="K72" s="158">
        <f t="shared" si="214"/>
        <v>12500</v>
      </c>
      <c r="L72" s="158">
        <f t="shared" si="214"/>
        <v>25000</v>
      </c>
      <c r="M72" s="158">
        <f t="shared" si="214"/>
        <v>25000</v>
      </c>
      <c r="N72" s="158">
        <f t="shared" si="214"/>
        <v>37500</v>
      </c>
      <c r="O72" s="158">
        <f t="shared" si="214"/>
        <v>43750</v>
      </c>
      <c r="P72" s="158">
        <f t="shared" si="214"/>
        <v>50000</v>
      </c>
      <c r="Q72" s="158">
        <f t="shared" si="214"/>
        <v>56250</v>
      </c>
      <c r="R72" s="158">
        <f t="shared" si="214"/>
        <v>68750</v>
      </c>
      <c r="S72" s="158">
        <f t="shared" si="214"/>
        <v>68750</v>
      </c>
      <c r="T72" s="158">
        <f t="shared" si="214"/>
        <v>81250</v>
      </c>
      <c r="U72" s="158">
        <f t="shared" si="214"/>
        <v>87500</v>
      </c>
      <c r="V72" s="158">
        <f t="shared" si="214"/>
        <v>93750</v>
      </c>
      <c r="W72" s="158">
        <f t="shared" si="214"/>
        <v>100000</v>
      </c>
      <c r="X72" s="158">
        <f t="shared" si="214"/>
        <v>112500</v>
      </c>
      <c r="Y72" s="158">
        <f t="shared" si="214"/>
        <v>118750</v>
      </c>
      <c r="Z72" s="158">
        <f t="shared" si="214"/>
        <v>125000</v>
      </c>
      <c r="AA72" s="158">
        <f t="shared" si="214"/>
        <v>137500</v>
      </c>
      <c r="AB72" s="158">
        <f t="shared" si="214"/>
        <v>137500</v>
      </c>
      <c r="AC72" s="158">
        <f t="shared" si="214"/>
        <v>150000</v>
      </c>
      <c r="AD72" s="158">
        <f t="shared" si="214"/>
        <v>156250</v>
      </c>
      <c r="AE72" s="158">
        <f t="shared" si="214"/>
        <v>168750</v>
      </c>
      <c r="AF72" s="158">
        <f t="shared" si="214"/>
        <v>175000</v>
      </c>
      <c r="AG72" s="158">
        <f t="shared" si="214"/>
        <v>181250</v>
      </c>
      <c r="AH72" s="158">
        <f t="shared" si="214"/>
        <v>187500</v>
      </c>
      <c r="AI72" s="158">
        <f t="shared" si="214"/>
        <v>200000</v>
      </c>
      <c r="AJ72" s="158">
        <f t="shared" si="214"/>
        <v>206250</v>
      </c>
      <c r="AK72" s="158">
        <f t="shared" si="214"/>
        <v>212500</v>
      </c>
      <c r="AL72" s="158">
        <f t="shared" si="214"/>
        <v>225000</v>
      </c>
      <c r="AM72" s="158">
        <f t="shared" si="214"/>
        <v>231250</v>
      </c>
      <c r="AN72" s="158">
        <f t="shared" si="214"/>
        <v>237500</v>
      </c>
      <c r="AO72" s="158">
        <f t="shared" si="214"/>
        <v>243750</v>
      </c>
      <c r="AP72" s="158">
        <f t="shared" si="214"/>
        <v>256250</v>
      </c>
      <c r="AQ72" s="158">
        <f t="shared" si="214"/>
        <v>262500</v>
      </c>
      <c r="AR72" s="158">
        <f t="shared" si="214"/>
        <v>268750</v>
      </c>
      <c r="AS72" s="158">
        <f t="shared" si="214"/>
        <v>281250</v>
      </c>
      <c r="AT72" s="158">
        <f t="shared" si="214"/>
        <v>287500</v>
      </c>
      <c r="AU72" s="158">
        <f t="shared" si="214"/>
        <v>293750</v>
      </c>
      <c r="AV72" s="158">
        <f t="shared" si="214"/>
        <v>300000</v>
      </c>
      <c r="AW72" s="158">
        <f t="shared" si="214"/>
        <v>312500</v>
      </c>
      <c r="AX72" s="158">
        <f t="shared" si="214"/>
        <v>318750</v>
      </c>
      <c r="AY72" s="158">
        <f t="shared" si="214"/>
        <v>331250</v>
      </c>
      <c r="AZ72" s="158">
        <f t="shared" si="214"/>
        <v>331250</v>
      </c>
      <c r="BA72" s="158">
        <f t="shared" si="214"/>
        <v>343750</v>
      </c>
      <c r="BB72" s="158">
        <f t="shared" si="214"/>
        <v>350000</v>
      </c>
      <c r="BC72" s="158">
        <f t="shared" si="214"/>
        <v>356250</v>
      </c>
      <c r="BD72" s="158">
        <f t="shared" si="214"/>
        <v>368750</v>
      </c>
      <c r="BE72" s="158">
        <f t="shared" si="214"/>
        <v>375000</v>
      </c>
      <c r="BF72" s="158">
        <f t="shared" si="214"/>
        <v>387500</v>
      </c>
      <c r="BG72" s="158">
        <f t="shared" si="214"/>
        <v>393750</v>
      </c>
      <c r="BH72" s="158">
        <f t="shared" si="214"/>
        <v>400000</v>
      </c>
      <c r="BI72" s="158">
        <f t="shared" si="214"/>
        <v>412500</v>
      </c>
    </row>
    <row r="73" spans="1:61" s="535" customFormat="1" outlineLevel="1" x14ac:dyDescent="0.25">
      <c r="A73" s="17" t="s">
        <v>396</v>
      </c>
      <c r="B73" s="165">
        <f>B72*$B$4</f>
        <v>0</v>
      </c>
      <c r="C73" s="165">
        <f t="shared" ref="C73:BI73" si="215">C72*$B$4</f>
        <v>0</v>
      </c>
      <c r="D73" s="165">
        <f t="shared" si="215"/>
        <v>250</v>
      </c>
      <c r="E73" s="165">
        <f t="shared" si="215"/>
        <v>250</v>
      </c>
      <c r="F73" s="165">
        <f t="shared" si="215"/>
        <v>250</v>
      </c>
      <c r="G73" s="165">
        <f t="shared" si="215"/>
        <v>250</v>
      </c>
      <c r="H73" s="165">
        <f t="shared" si="215"/>
        <v>250</v>
      </c>
      <c r="I73" s="165">
        <f t="shared" si="215"/>
        <v>250</v>
      </c>
      <c r="J73" s="165">
        <f t="shared" si="215"/>
        <v>250</v>
      </c>
      <c r="K73" s="165">
        <f t="shared" si="215"/>
        <v>500</v>
      </c>
      <c r="L73" s="165">
        <f t="shared" si="215"/>
        <v>1000</v>
      </c>
      <c r="M73" s="165">
        <f t="shared" si="215"/>
        <v>1000</v>
      </c>
      <c r="N73" s="165">
        <f t="shared" si="215"/>
        <v>1500</v>
      </c>
      <c r="O73" s="165">
        <f t="shared" si="215"/>
        <v>1750</v>
      </c>
      <c r="P73" s="165">
        <f t="shared" si="215"/>
        <v>2000</v>
      </c>
      <c r="Q73" s="165">
        <f t="shared" si="215"/>
        <v>2250</v>
      </c>
      <c r="R73" s="165">
        <f t="shared" si="215"/>
        <v>2750</v>
      </c>
      <c r="S73" s="165">
        <f t="shared" si="215"/>
        <v>2750</v>
      </c>
      <c r="T73" s="165">
        <f t="shared" si="215"/>
        <v>3250</v>
      </c>
      <c r="U73" s="165">
        <f t="shared" si="215"/>
        <v>3500</v>
      </c>
      <c r="V73" s="165">
        <f t="shared" si="215"/>
        <v>3750</v>
      </c>
      <c r="W73" s="165">
        <f t="shared" si="215"/>
        <v>4000</v>
      </c>
      <c r="X73" s="165">
        <f t="shared" si="215"/>
        <v>4500</v>
      </c>
      <c r="Y73" s="165">
        <f t="shared" si="215"/>
        <v>4750</v>
      </c>
      <c r="Z73" s="165">
        <f t="shared" si="215"/>
        <v>5000</v>
      </c>
      <c r="AA73" s="165">
        <f t="shared" si="215"/>
        <v>5500</v>
      </c>
      <c r="AB73" s="165">
        <f t="shared" si="215"/>
        <v>5500</v>
      </c>
      <c r="AC73" s="165">
        <f t="shared" si="215"/>
        <v>6000</v>
      </c>
      <c r="AD73" s="165">
        <f t="shared" si="215"/>
        <v>6250</v>
      </c>
      <c r="AE73" s="165">
        <f t="shared" si="215"/>
        <v>6750</v>
      </c>
      <c r="AF73" s="165">
        <f t="shared" si="215"/>
        <v>7000</v>
      </c>
      <c r="AG73" s="165">
        <f t="shared" si="215"/>
        <v>7250</v>
      </c>
      <c r="AH73" s="165">
        <f t="shared" si="215"/>
        <v>7500</v>
      </c>
      <c r="AI73" s="165">
        <f t="shared" si="215"/>
        <v>8000</v>
      </c>
      <c r="AJ73" s="165">
        <f t="shared" si="215"/>
        <v>8250</v>
      </c>
      <c r="AK73" s="165">
        <f t="shared" si="215"/>
        <v>8500</v>
      </c>
      <c r="AL73" s="165">
        <f t="shared" si="215"/>
        <v>9000</v>
      </c>
      <c r="AM73" s="165">
        <f t="shared" si="215"/>
        <v>9250</v>
      </c>
      <c r="AN73" s="165">
        <f t="shared" si="215"/>
        <v>9500</v>
      </c>
      <c r="AO73" s="165">
        <f t="shared" si="215"/>
        <v>9750</v>
      </c>
      <c r="AP73" s="165">
        <f t="shared" si="215"/>
        <v>10250</v>
      </c>
      <c r="AQ73" s="165">
        <f t="shared" si="215"/>
        <v>10500</v>
      </c>
      <c r="AR73" s="165">
        <f t="shared" si="215"/>
        <v>10750</v>
      </c>
      <c r="AS73" s="165">
        <f t="shared" si="215"/>
        <v>11250</v>
      </c>
      <c r="AT73" s="165">
        <f t="shared" si="215"/>
        <v>11500</v>
      </c>
      <c r="AU73" s="165">
        <f t="shared" si="215"/>
        <v>11750</v>
      </c>
      <c r="AV73" s="165">
        <f t="shared" si="215"/>
        <v>12000</v>
      </c>
      <c r="AW73" s="165">
        <f t="shared" si="215"/>
        <v>12500</v>
      </c>
      <c r="AX73" s="165">
        <f t="shared" si="215"/>
        <v>12750</v>
      </c>
      <c r="AY73" s="165">
        <f t="shared" si="215"/>
        <v>13250</v>
      </c>
      <c r="AZ73" s="165">
        <f t="shared" si="215"/>
        <v>13250</v>
      </c>
      <c r="BA73" s="165">
        <f t="shared" si="215"/>
        <v>13750</v>
      </c>
      <c r="BB73" s="165">
        <f t="shared" si="215"/>
        <v>14000</v>
      </c>
      <c r="BC73" s="165">
        <f t="shared" si="215"/>
        <v>14250</v>
      </c>
      <c r="BD73" s="165">
        <f t="shared" si="215"/>
        <v>14750</v>
      </c>
      <c r="BE73" s="165">
        <f t="shared" si="215"/>
        <v>15000</v>
      </c>
      <c r="BF73" s="165">
        <f t="shared" si="215"/>
        <v>15500</v>
      </c>
      <c r="BG73" s="165">
        <f t="shared" si="215"/>
        <v>15750</v>
      </c>
      <c r="BH73" s="165">
        <f t="shared" si="215"/>
        <v>16000</v>
      </c>
      <c r="BI73" s="165">
        <f t="shared" si="215"/>
        <v>16500</v>
      </c>
    </row>
    <row r="74" spans="1:61" s="159" customFormat="1" outlineLevel="1" x14ac:dyDescent="0.25">
      <c r="A74" s="542" t="s">
        <v>613</v>
      </c>
      <c r="B74" s="158">
        <f>B72*$B$5</f>
        <v>0</v>
      </c>
      <c r="C74" s="158">
        <f t="shared" ref="C74:BI74" si="216">C72*$B$5</f>
        <v>0</v>
      </c>
      <c r="D74" s="158">
        <f t="shared" si="216"/>
        <v>125</v>
      </c>
      <c r="E74" s="158">
        <f t="shared" si="216"/>
        <v>125</v>
      </c>
      <c r="F74" s="158">
        <f t="shared" si="216"/>
        <v>125</v>
      </c>
      <c r="G74" s="158">
        <f t="shared" si="216"/>
        <v>125</v>
      </c>
      <c r="H74" s="158">
        <f t="shared" si="216"/>
        <v>125</v>
      </c>
      <c r="I74" s="158">
        <f t="shared" si="216"/>
        <v>125</v>
      </c>
      <c r="J74" s="158">
        <f t="shared" si="216"/>
        <v>125</v>
      </c>
      <c r="K74" s="158">
        <f t="shared" si="216"/>
        <v>250</v>
      </c>
      <c r="L74" s="158">
        <f t="shared" si="216"/>
        <v>500</v>
      </c>
      <c r="M74" s="158">
        <f t="shared" si="216"/>
        <v>500</v>
      </c>
      <c r="N74" s="158">
        <f t="shared" si="216"/>
        <v>750</v>
      </c>
      <c r="O74" s="158">
        <f t="shared" si="216"/>
        <v>875</v>
      </c>
      <c r="P74" s="158">
        <f t="shared" si="216"/>
        <v>1000</v>
      </c>
      <c r="Q74" s="158">
        <f t="shared" si="216"/>
        <v>1125</v>
      </c>
      <c r="R74" s="158">
        <f t="shared" si="216"/>
        <v>1375</v>
      </c>
      <c r="S74" s="158">
        <f t="shared" si="216"/>
        <v>1375</v>
      </c>
      <c r="T74" s="158">
        <f t="shared" si="216"/>
        <v>1625</v>
      </c>
      <c r="U74" s="158">
        <f t="shared" si="216"/>
        <v>1750</v>
      </c>
      <c r="V74" s="158">
        <f t="shared" si="216"/>
        <v>1875</v>
      </c>
      <c r="W74" s="158">
        <f t="shared" si="216"/>
        <v>2000</v>
      </c>
      <c r="X74" s="158">
        <f t="shared" si="216"/>
        <v>2250</v>
      </c>
      <c r="Y74" s="158">
        <f t="shared" si="216"/>
        <v>2375</v>
      </c>
      <c r="Z74" s="158">
        <f t="shared" si="216"/>
        <v>2500</v>
      </c>
      <c r="AA74" s="158">
        <f t="shared" si="216"/>
        <v>2750</v>
      </c>
      <c r="AB74" s="158">
        <f t="shared" si="216"/>
        <v>2750</v>
      </c>
      <c r="AC74" s="158">
        <f t="shared" si="216"/>
        <v>3000</v>
      </c>
      <c r="AD74" s="158">
        <f t="shared" si="216"/>
        <v>3125</v>
      </c>
      <c r="AE74" s="158">
        <f t="shared" si="216"/>
        <v>3375</v>
      </c>
      <c r="AF74" s="158">
        <f t="shared" si="216"/>
        <v>3500</v>
      </c>
      <c r="AG74" s="158">
        <f t="shared" si="216"/>
        <v>3625</v>
      </c>
      <c r="AH74" s="158">
        <f t="shared" si="216"/>
        <v>3750</v>
      </c>
      <c r="AI74" s="158">
        <f t="shared" si="216"/>
        <v>4000</v>
      </c>
      <c r="AJ74" s="158">
        <f t="shared" si="216"/>
        <v>4125</v>
      </c>
      <c r="AK74" s="158">
        <f t="shared" si="216"/>
        <v>4250</v>
      </c>
      <c r="AL74" s="158">
        <f t="shared" si="216"/>
        <v>4500</v>
      </c>
      <c r="AM74" s="158">
        <f t="shared" si="216"/>
        <v>4625</v>
      </c>
      <c r="AN74" s="158">
        <f t="shared" si="216"/>
        <v>4750</v>
      </c>
      <c r="AO74" s="158">
        <f t="shared" si="216"/>
        <v>4875</v>
      </c>
      <c r="AP74" s="158">
        <f t="shared" si="216"/>
        <v>5125</v>
      </c>
      <c r="AQ74" s="158">
        <f t="shared" si="216"/>
        <v>5250</v>
      </c>
      <c r="AR74" s="158">
        <f t="shared" si="216"/>
        <v>5375</v>
      </c>
      <c r="AS74" s="158">
        <f t="shared" si="216"/>
        <v>5625</v>
      </c>
      <c r="AT74" s="158">
        <f t="shared" si="216"/>
        <v>5750</v>
      </c>
      <c r="AU74" s="158">
        <f t="shared" si="216"/>
        <v>5875</v>
      </c>
      <c r="AV74" s="158">
        <f t="shared" si="216"/>
        <v>6000</v>
      </c>
      <c r="AW74" s="158">
        <f t="shared" si="216"/>
        <v>6250</v>
      </c>
      <c r="AX74" s="158">
        <f t="shared" si="216"/>
        <v>6375</v>
      </c>
      <c r="AY74" s="158">
        <f t="shared" si="216"/>
        <v>6625</v>
      </c>
      <c r="AZ74" s="158">
        <f t="shared" si="216"/>
        <v>6625</v>
      </c>
      <c r="BA74" s="158">
        <f t="shared" si="216"/>
        <v>6875</v>
      </c>
      <c r="BB74" s="158">
        <f t="shared" si="216"/>
        <v>7000</v>
      </c>
      <c r="BC74" s="158">
        <f t="shared" si="216"/>
        <v>7125</v>
      </c>
      <c r="BD74" s="158">
        <f t="shared" si="216"/>
        <v>7375</v>
      </c>
      <c r="BE74" s="158">
        <f t="shared" si="216"/>
        <v>7500</v>
      </c>
      <c r="BF74" s="158">
        <f t="shared" si="216"/>
        <v>7750</v>
      </c>
      <c r="BG74" s="158">
        <f t="shared" si="216"/>
        <v>7875</v>
      </c>
      <c r="BH74" s="158">
        <f t="shared" si="216"/>
        <v>8000</v>
      </c>
      <c r="BI74" s="158">
        <f t="shared" si="216"/>
        <v>8250</v>
      </c>
    </row>
    <row r="75" spans="1:61" s="151" customFormat="1" x14ac:dyDescent="0.25">
      <c r="A75" s="538" t="s">
        <v>620</v>
      </c>
      <c r="B75" s="536">
        <f>B73+B65</f>
        <v>28</v>
      </c>
      <c r="C75" s="536">
        <f t="shared" ref="C75:BI75" si="217">C73+C65</f>
        <v>56</v>
      </c>
      <c r="D75" s="536">
        <f t="shared" si="217"/>
        <v>334</v>
      </c>
      <c r="E75" s="536">
        <f t="shared" si="217"/>
        <v>362</v>
      </c>
      <c r="F75" s="536">
        <f t="shared" si="217"/>
        <v>390</v>
      </c>
      <c r="G75" s="536">
        <f t="shared" si="217"/>
        <v>418</v>
      </c>
      <c r="H75" s="536">
        <f t="shared" si="217"/>
        <v>446</v>
      </c>
      <c r="I75" s="536">
        <f t="shared" si="217"/>
        <v>530</v>
      </c>
      <c r="J75" s="536">
        <f t="shared" si="217"/>
        <v>642</v>
      </c>
      <c r="K75" s="536">
        <f t="shared" si="217"/>
        <v>1060</v>
      </c>
      <c r="L75" s="536">
        <f t="shared" si="217"/>
        <v>1784</v>
      </c>
      <c r="M75" s="536">
        <f t="shared" si="217"/>
        <v>2064</v>
      </c>
      <c r="N75" s="536">
        <f t="shared" si="217"/>
        <v>2844</v>
      </c>
      <c r="O75" s="536">
        <f t="shared" si="217"/>
        <v>3374</v>
      </c>
      <c r="P75" s="536">
        <f t="shared" si="217"/>
        <v>3904</v>
      </c>
      <c r="Q75" s="536">
        <f t="shared" si="217"/>
        <v>4434</v>
      </c>
      <c r="R75" s="536">
        <f t="shared" si="217"/>
        <v>5214</v>
      </c>
      <c r="S75" s="536">
        <f t="shared" si="217"/>
        <v>5494</v>
      </c>
      <c r="T75" s="536">
        <f t="shared" si="217"/>
        <v>6274</v>
      </c>
      <c r="U75" s="536">
        <f t="shared" si="217"/>
        <v>6804</v>
      </c>
      <c r="V75" s="536">
        <f t="shared" si="217"/>
        <v>7334</v>
      </c>
      <c r="W75" s="536">
        <f t="shared" si="217"/>
        <v>7892</v>
      </c>
      <c r="X75" s="536">
        <f t="shared" si="217"/>
        <v>8700</v>
      </c>
      <c r="Y75" s="536">
        <f t="shared" si="217"/>
        <v>9258</v>
      </c>
      <c r="Z75" s="536">
        <f t="shared" si="217"/>
        <v>9816</v>
      </c>
      <c r="AA75" s="536">
        <f t="shared" si="217"/>
        <v>10624</v>
      </c>
      <c r="AB75" s="536">
        <f t="shared" si="217"/>
        <v>10932</v>
      </c>
      <c r="AC75" s="536">
        <f t="shared" si="217"/>
        <v>11740</v>
      </c>
      <c r="AD75" s="536">
        <f t="shared" si="217"/>
        <v>12298</v>
      </c>
      <c r="AE75" s="536">
        <f t="shared" si="217"/>
        <v>13106</v>
      </c>
      <c r="AF75" s="536">
        <f t="shared" si="217"/>
        <v>13664</v>
      </c>
      <c r="AG75" s="536">
        <f t="shared" si="217"/>
        <v>14222</v>
      </c>
      <c r="AH75" s="536">
        <f t="shared" si="217"/>
        <v>14780</v>
      </c>
      <c r="AI75" s="536">
        <f t="shared" si="217"/>
        <v>15588</v>
      </c>
      <c r="AJ75" s="536">
        <f t="shared" si="217"/>
        <v>16146</v>
      </c>
      <c r="AK75" s="536">
        <f t="shared" si="217"/>
        <v>16704</v>
      </c>
      <c r="AL75" s="536">
        <f t="shared" si="217"/>
        <v>17512</v>
      </c>
      <c r="AM75" s="536">
        <f t="shared" si="217"/>
        <v>18070</v>
      </c>
      <c r="AN75" s="536">
        <f t="shared" si="217"/>
        <v>18628</v>
      </c>
      <c r="AO75" s="536">
        <f t="shared" si="217"/>
        <v>19186</v>
      </c>
      <c r="AP75" s="536">
        <f t="shared" si="217"/>
        <v>19994</v>
      </c>
      <c r="AQ75" s="536">
        <f t="shared" si="217"/>
        <v>20552</v>
      </c>
      <c r="AR75" s="536">
        <f t="shared" si="217"/>
        <v>21110</v>
      </c>
      <c r="AS75" s="536">
        <f t="shared" si="217"/>
        <v>21918</v>
      </c>
      <c r="AT75" s="536">
        <f t="shared" si="217"/>
        <v>22476</v>
      </c>
      <c r="AU75" s="536">
        <f t="shared" si="217"/>
        <v>23034</v>
      </c>
      <c r="AV75" s="536">
        <f t="shared" si="217"/>
        <v>23592</v>
      </c>
      <c r="AW75" s="536">
        <f t="shared" si="217"/>
        <v>24400</v>
      </c>
      <c r="AX75" s="536">
        <f t="shared" si="217"/>
        <v>24958</v>
      </c>
      <c r="AY75" s="536">
        <f t="shared" si="217"/>
        <v>25766</v>
      </c>
      <c r="AZ75" s="536">
        <f t="shared" si="217"/>
        <v>26074</v>
      </c>
      <c r="BA75" s="536">
        <f t="shared" si="217"/>
        <v>26910</v>
      </c>
      <c r="BB75" s="536">
        <f t="shared" si="217"/>
        <v>27496</v>
      </c>
      <c r="BC75" s="536">
        <f t="shared" si="217"/>
        <v>28082</v>
      </c>
      <c r="BD75" s="536">
        <f t="shared" si="217"/>
        <v>28918</v>
      </c>
      <c r="BE75" s="536">
        <f t="shared" si="217"/>
        <v>29504</v>
      </c>
      <c r="BF75" s="536">
        <f t="shared" si="217"/>
        <v>30340</v>
      </c>
      <c r="BG75" s="536">
        <f t="shared" si="217"/>
        <v>30926</v>
      </c>
      <c r="BH75" s="536">
        <f t="shared" si="217"/>
        <v>31512</v>
      </c>
      <c r="BI75" s="536">
        <f t="shared" si="217"/>
        <v>32348</v>
      </c>
    </row>
    <row r="76" spans="1:61" s="151" customFormat="1" x14ac:dyDescent="0.25">
      <c r="A76" s="324" t="s">
        <v>621</v>
      </c>
      <c r="B76" s="537">
        <f>B74+B66</f>
        <v>14</v>
      </c>
      <c r="C76" s="537">
        <f t="shared" ref="C76:BI76" si="218">C74+C66</f>
        <v>28</v>
      </c>
      <c r="D76" s="537">
        <f t="shared" si="218"/>
        <v>167</v>
      </c>
      <c r="E76" s="537">
        <f t="shared" si="218"/>
        <v>181</v>
      </c>
      <c r="F76" s="537">
        <f t="shared" si="218"/>
        <v>195</v>
      </c>
      <c r="G76" s="537">
        <f t="shared" si="218"/>
        <v>209</v>
      </c>
      <c r="H76" s="537">
        <f t="shared" si="218"/>
        <v>223</v>
      </c>
      <c r="I76" s="537">
        <f t="shared" si="218"/>
        <v>265</v>
      </c>
      <c r="J76" s="537">
        <f t="shared" si="218"/>
        <v>321</v>
      </c>
      <c r="K76" s="537">
        <f t="shared" si="218"/>
        <v>530</v>
      </c>
      <c r="L76" s="537">
        <f t="shared" si="218"/>
        <v>892</v>
      </c>
      <c r="M76" s="537">
        <f t="shared" si="218"/>
        <v>1032</v>
      </c>
      <c r="N76" s="537">
        <f t="shared" si="218"/>
        <v>1422</v>
      </c>
      <c r="O76" s="537">
        <f t="shared" si="218"/>
        <v>1687</v>
      </c>
      <c r="P76" s="537">
        <f t="shared" si="218"/>
        <v>1952</v>
      </c>
      <c r="Q76" s="537">
        <f t="shared" si="218"/>
        <v>2217</v>
      </c>
      <c r="R76" s="537">
        <f t="shared" si="218"/>
        <v>2607</v>
      </c>
      <c r="S76" s="537">
        <f t="shared" si="218"/>
        <v>2747</v>
      </c>
      <c r="T76" s="537">
        <f t="shared" si="218"/>
        <v>3137</v>
      </c>
      <c r="U76" s="537">
        <f t="shared" si="218"/>
        <v>3402</v>
      </c>
      <c r="V76" s="537">
        <f t="shared" si="218"/>
        <v>3667</v>
      </c>
      <c r="W76" s="537">
        <f t="shared" si="218"/>
        <v>3946</v>
      </c>
      <c r="X76" s="537">
        <f t="shared" si="218"/>
        <v>4350</v>
      </c>
      <c r="Y76" s="537">
        <f t="shared" si="218"/>
        <v>4629</v>
      </c>
      <c r="Z76" s="537">
        <f t="shared" si="218"/>
        <v>4908</v>
      </c>
      <c r="AA76" s="537">
        <f t="shared" si="218"/>
        <v>5312</v>
      </c>
      <c r="AB76" s="537">
        <f t="shared" si="218"/>
        <v>5466</v>
      </c>
      <c r="AC76" s="537">
        <f t="shared" si="218"/>
        <v>5870</v>
      </c>
      <c r="AD76" s="537">
        <f t="shared" si="218"/>
        <v>6149</v>
      </c>
      <c r="AE76" s="537">
        <f t="shared" si="218"/>
        <v>6553</v>
      </c>
      <c r="AF76" s="537">
        <f t="shared" si="218"/>
        <v>6832</v>
      </c>
      <c r="AG76" s="537">
        <f t="shared" si="218"/>
        <v>7111</v>
      </c>
      <c r="AH76" s="537">
        <f t="shared" si="218"/>
        <v>7390</v>
      </c>
      <c r="AI76" s="537">
        <f t="shared" si="218"/>
        <v>7794</v>
      </c>
      <c r="AJ76" s="537">
        <f t="shared" si="218"/>
        <v>8073</v>
      </c>
      <c r="AK76" s="537">
        <f t="shared" si="218"/>
        <v>8352</v>
      </c>
      <c r="AL76" s="537">
        <f t="shared" si="218"/>
        <v>8756</v>
      </c>
      <c r="AM76" s="537">
        <f t="shared" si="218"/>
        <v>9035</v>
      </c>
      <c r="AN76" s="537">
        <f t="shared" si="218"/>
        <v>9314</v>
      </c>
      <c r="AO76" s="537">
        <f t="shared" si="218"/>
        <v>9593</v>
      </c>
      <c r="AP76" s="537">
        <f t="shared" si="218"/>
        <v>9997</v>
      </c>
      <c r="AQ76" s="537">
        <f t="shared" si="218"/>
        <v>10276</v>
      </c>
      <c r="AR76" s="537">
        <f t="shared" si="218"/>
        <v>10555</v>
      </c>
      <c r="AS76" s="537">
        <f t="shared" si="218"/>
        <v>10959</v>
      </c>
      <c r="AT76" s="537">
        <f t="shared" si="218"/>
        <v>11238</v>
      </c>
      <c r="AU76" s="537">
        <f t="shared" si="218"/>
        <v>11517</v>
      </c>
      <c r="AV76" s="537">
        <f t="shared" si="218"/>
        <v>11796</v>
      </c>
      <c r="AW76" s="537">
        <f t="shared" si="218"/>
        <v>12200</v>
      </c>
      <c r="AX76" s="537">
        <f t="shared" si="218"/>
        <v>12479</v>
      </c>
      <c r="AY76" s="537">
        <f t="shared" si="218"/>
        <v>12883</v>
      </c>
      <c r="AZ76" s="537">
        <f t="shared" si="218"/>
        <v>13037</v>
      </c>
      <c r="BA76" s="537">
        <f t="shared" si="218"/>
        <v>13455</v>
      </c>
      <c r="BB76" s="537">
        <f t="shared" si="218"/>
        <v>13748</v>
      </c>
      <c r="BC76" s="537">
        <f t="shared" si="218"/>
        <v>14041</v>
      </c>
      <c r="BD76" s="537">
        <f t="shared" si="218"/>
        <v>14459</v>
      </c>
      <c r="BE76" s="537">
        <f t="shared" si="218"/>
        <v>14752</v>
      </c>
      <c r="BF76" s="537">
        <f t="shared" si="218"/>
        <v>15170</v>
      </c>
      <c r="BG76" s="537">
        <f t="shared" si="218"/>
        <v>15463</v>
      </c>
      <c r="BH76" s="537">
        <f t="shared" si="218"/>
        <v>15756</v>
      </c>
      <c r="BI76" s="537">
        <f t="shared" si="218"/>
        <v>16174</v>
      </c>
    </row>
    <row r="77" spans="1:61" s="151" customFormat="1" x14ac:dyDescent="0.25">
      <c r="A77" s="226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</row>
    <row r="78" spans="1:61" x14ac:dyDescent="0.25">
      <c r="A78" s="23" t="s">
        <v>55</v>
      </c>
      <c r="B78" s="24">
        <v>43831</v>
      </c>
      <c r="C78" s="24">
        <v>43862</v>
      </c>
      <c r="D78" s="24">
        <v>43891</v>
      </c>
      <c r="E78" s="24">
        <v>43922</v>
      </c>
      <c r="F78" s="24">
        <v>43952</v>
      </c>
      <c r="G78" s="24">
        <v>43983</v>
      </c>
      <c r="H78" s="24">
        <v>44013</v>
      </c>
      <c r="I78" s="24">
        <v>44044</v>
      </c>
      <c r="J78" s="24">
        <v>44075</v>
      </c>
      <c r="K78" s="24">
        <v>44105</v>
      </c>
      <c r="L78" s="24">
        <v>44136</v>
      </c>
      <c r="M78" s="24">
        <v>44166</v>
      </c>
      <c r="N78" s="24">
        <v>44197</v>
      </c>
      <c r="O78" s="24">
        <v>44228</v>
      </c>
      <c r="P78" s="24">
        <v>44256</v>
      </c>
      <c r="Q78" s="24">
        <v>44287</v>
      </c>
      <c r="R78" s="24">
        <v>44317</v>
      </c>
      <c r="S78" s="24">
        <v>44348</v>
      </c>
      <c r="T78" s="24">
        <v>44378</v>
      </c>
      <c r="U78" s="24">
        <v>44409</v>
      </c>
      <c r="V78" s="24">
        <v>44440</v>
      </c>
      <c r="W78" s="24">
        <v>44470</v>
      </c>
      <c r="X78" s="24">
        <v>44501</v>
      </c>
      <c r="Y78" s="24">
        <v>44531</v>
      </c>
      <c r="Z78" s="24">
        <v>44562</v>
      </c>
      <c r="AA78" s="24">
        <v>44593</v>
      </c>
      <c r="AB78" s="24">
        <v>44621</v>
      </c>
      <c r="AC78" s="24">
        <v>44652</v>
      </c>
      <c r="AD78" s="24">
        <v>44682</v>
      </c>
      <c r="AE78" s="24">
        <v>44713</v>
      </c>
      <c r="AF78" s="24">
        <v>44743</v>
      </c>
      <c r="AG78" s="24">
        <v>44774</v>
      </c>
      <c r="AH78" s="24">
        <v>44805</v>
      </c>
      <c r="AI78" s="24">
        <v>44835</v>
      </c>
      <c r="AJ78" s="24">
        <v>44866</v>
      </c>
      <c r="AK78" s="24">
        <v>44896</v>
      </c>
      <c r="AL78" s="24">
        <v>44927</v>
      </c>
      <c r="AM78" s="24">
        <v>44958</v>
      </c>
      <c r="AN78" s="24">
        <v>44986</v>
      </c>
      <c r="AO78" s="24">
        <v>45017</v>
      </c>
      <c r="AP78" s="24">
        <v>45047</v>
      </c>
      <c r="AQ78" s="24">
        <v>45078</v>
      </c>
      <c r="AR78" s="24">
        <v>45108</v>
      </c>
      <c r="AS78" s="24">
        <v>45139</v>
      </c>
      <c r="AT78" s="24">
        <v>45170</v>
      </c>
      <c r="AU78" s="24">
        <v>45200</v>
      </c>
      <c r="AV78" s="24">
        <v>45231</v>
      </c>
      <c r="AW78" s="24">
        <v>45261</v>
      </c>
      <c r="AX78" s="24">
        <v>45292</v>
      </c>
      <c r="AY78" s="24">
        <v>45323</v>
      </c>
      <c r="AZ78" s="24">
        <v>45352</v>
      </c>
      <c r="BA78" s="24">
        <v>45383</v>
      </c>
      <c r="BB78" s="24">
        <v>45413</v>
      </c>
      <c r="BC78" s="24">
        <v>45444</v>
      </c>
      <c r="BD78" s="24">
        <v>45474</v>
      </c>
      <c r="BE78" s="24">
        <v>45505</v>
      </c>
      <c r="BF78" s="24">
        <v>45536</v>
      </c>
      <c r="BG78" s="24">
        <v>45566</v>
      </c>
      <c r="BH78" s="24">
        <v>45597</v>
      </c>
      <c r="BI78" s="24">
        <v>45627</v>
      </c>
    </row>
    <row r="79" spans="1:61" outlineLevel="1" x14ac:dyDescent="0.25">
      <c r="A79" s="18" t="s">
        <v>622</v>
      </c>
      <c r="B79" s="114">
        <f t="shared" ref="B79:AG79" si="219">B34</f>
        <v>11.200000000000001</v>
      </c>
      <c r="C79" s="114">
        <f t="shared" si="219"/>
        <v>22.400000000000002</v>
      </c>
      <c r="D79" s="114">
        <f t="shared" si="219"/>
        <v>33.599999999999994</v>
      </c>
      <c r="E79" s="114">
        <f t="shared" si="219"/>
        <v>44.800000000000004</v>
      </c>
      <c r="F79" s="114">
        <f t="shared" si="219"/>
        <v>55.999999999999993</v>
      </c>
      <c r="G79" s="114">
        <f t="shared" si="219"/>
        <v>67.199999999999989</v>
      </c>
      <c r="H79" s="114">
        <f t="shared" si="219"/>
        <v>78.399999999999991</v>
      </c>
      <c r="I79" s="114">
        <f t="shared" si="219"/>
        <v>111.99999999999999</v>
      </c>
      <c r="J79" s="114">
        <f t="shared" si="219"/>
        <v>156.79999999999998</v>
      </c>
      <c r="K79" s="114">
        <f t="shared" si="219"/>
        <v>223.99999999999997</v>
      </c>
      <c r="L79" s="114">
        <f t="shared" si="219"/>
        <v>313.59999999999997</v>
      </c>
      <c r="M79" s="114">
        <f t="shared" si="219"/>
        <v>425.6</v>
      </c>
      <c r="N79" s="114">
        <f t="shared" si="219"/>
        <v>523.48799999999994</v>
      </c>
      <c r="O79" s="114">
        <f t="shared" si="219"/>
        <v>632.548</v>
      </c>
      <c r="P79" s="114">
        <f t="shared" si="219"/>
        <v>741.60799999999995</v>
      </c>
      <c r="Q79" s="114">
        <f t="shared" si="219"/>
        <v>850.66799999999989</v>
      </c>
      <c r="R79" s="114">
        <f t="shared" si="219"/>
        <v>959.72799999999995</v>
      </c>
      <c r="S79" s="114">
        <f t="shared" si="219"/>
        <v>1068.788</v>
      </c>
      <c r="T79" s="114">
        <f t="shared" si="219"/>
        <v>1177.848</v>
      </c>
      <c r="U79" s="114">
        <f t="shared" si="219"/>
        <v>1286.9079999999999</v>
      </c>
      <c r="V79" s="114">
        <f t="shared" si="219"/>
        <v>1395.9679999999998</v>
      </c>
      <c r="W79" s="114">
        <f t="shared" si="219"/>
        <v>1515.9339999999997</v>
      </c>
      <c r="X79" s="114">
        <f t="shared" si="219"/>
        <v>1635.8999999999996</v>
      </c>
      <c r="Y79" s="114">
        <f t="shared" si="219"/>
        <v>1755.8659999999998</v>
      </c>
      <c r="Z79" s="114">
        <f t="shared" si="219"/>
        <v>1832.7288000000001</v>
      </c>
      <c r="AA79" s="114">
        <f t="shared" si="219"/>
        <v>1949.9382000000001</v>
      </c>
      <c r="AB79" s="114">
        <f t="shared" si="219"/>
        <v>2067.1475999999993</v>
      </c>
      <c r="AC79" s="114">
        <f t="shared" si="219"/>
        <v>2184.357</v>
      </c>
      <c r="AD79" s="114">
        <f t="shared" si="219"/>
        <v>2301.5663999999997</v>
      </c>
      <c r="AE79" s="114">
        <f t="shared" si="219"/>
        <v>2418.7757999999994</v>
      </c>
      <c r="AF79" s="114">
        <f t="shared" si="219"/>
        <v>2535.9851999999996</v>
      </c>
      <c r="AG79" s="114">
        <f t="shared" si="219"/>
        <v>2653.1945999999998</v>
      </c>
      <c r="AH79" s="114">
        <f t="shared" ref="AH79:BI79" si="220">AH34</f>
        <v>2770.4039999999995</v>
      </c>
      <c r="AI79" s="114">
        <f t="shared" si="220"/>
        <v>2887.6133999999997</v>
      </c>
      <c r="AJ79" s="114">
        <f t="shared" si="220"/>
        <v>3004.8227999999999</v>
      </c>
      <c r="AK79" s="114">
        <f t="shared" si="220"/>
        <v>3122.0321999999996</v>
      </c>
      <c r="AL79" s="114">
        <f t="shared" si="220"/>
        <v>3195.7454927999997</v>
      </c>
      <c r="AM79" s="114">
        <f t="shared" si="220"/>
        <v>3311.3810205</v>
      </c>
      <c r="AN79" s="114">
        <f t="shared" si="220"/>
        <v>3427.0165481999993</v>
      </c>
      <c r="AO79" s="114">
        <f t="shared" si="220"/>
        <v>3542.6520758999991</v>
      </c>
      <c r="AP79" s="114">
        <f t="shared" si="220"/>
        <v>3658.2876035999998</v>
      </c>
      <c r="AQ79" s="114">
        <f t="shared" si="220"/>
        <v>3773.9231313000005</v>
      </c>
      <c r="AR79" s="114">
        <f t="shared" si="220"/>
        <v>3889.5586589999994</v>
      </c>
      <c r="AS79" s="114">
        <f t="shared" si="220"/>
        <v>4005.1941866999991</v>
      </c>
      <c r="AT79" s="114">
        <f t="shared" si="220"/>
        <v>4120.8297143999989</v>
      </c>
      <c r="AU79" s="114">
        <f t="shared" si="220"/>
        <v>4236.4652420999992</v>
      </c>
      <c r="AV79" s="114">
        <f t="shared" si="220"/>
        <v>4352.1007697999994</v>
      </c>
      <c r="AW79" s="114">
        <f t="shared" si="220"/>
        <v>4467.7362974999996</v>
      </c>
      <c r="AX79" s="114">
        <f t="shared" si="220"/>
        <v>4543.8319532507994</v>
      </c>
      <c r="AY79" s="114">
        <f t="shared" si="220"/>
        <v>4658.4699153740994</v>
      </c>
      <c r="AZ79" s="114">
        <f t="shared" si="220"/>
        <v>4773.1078774973994</v>
      </c>
      <c r="BA79" s="114">
        <f t="shared" si="220"/>
        <v>4898.1674725409994</v>
      </c>
      <c r="BB79" s="114">
        <f t="shared" si="220"/>
        <v>5023.2270675846003</v>
      </c>
      <c r="BC79" s="114">
        <f t="shared" si="220"/>
        <v>5148.2866626281993</v>
      </c>
      <c r="BD79" s="114">
        <f t="shared" si="220"/>
        <v>5273.3462576718002</v>
      </c>
      <c r="BE79" s="114">
        <f t="shared" si="220"/>
        <v>5398.4058527153984</v>
      </c>
      <c r="BF79" s="114">
        <f t="shared" si="220"/>
        <v>5523.4654477590002</v>
      </c>
      <c r="BG79" s="114">
        <f t="shared" si="220"/>
        <v>5648.5250428025993</v>
      </c>
      <c r="BH79" s="114">
        <f t="shared" si="220"/>
        <v>5773.5846378461993</v>
      </c>
      <c r="BI79" s="114">
        <f t="shared" si="220"/>
        <v>5898.6442328898002</v>
      </c>
    </row>
    <row r="80" spans="1:61" outlineLevel="1" x14ac:dyDescent="0.25">
      <c r="A80" s="18" t="s">
        <v>623</v>
      </c>
      <c r="B80" s="114">
        <f t="shared" ref="B80:AG80" si="221">B46</f>
        <v>0</v>
      </c>
      <c r="C80" s="114">
        <f t="shared" si="221"/>
        <v>0</v>
      </c>
      <c r="D80" s="114">
        <f t="shared" si="221"/>
        <v>0</v>
      </c>
      <c r="E80" s="114">
        <f t="shared" si="221"/>
        <v>0</v>
      </c>
      <c r="F80" s="114">
        <f t="shared" si="221"/>
        <v>0</v>
      </c>
      <c r="G80" s="114">
        <f t="shared" si="221"/>
        <v>0</v>
      </c>
      <c r="H80" s="114">
        <f t="shared" si="221"/>
        <v>0</v>
      </c>
      <c r="I80" s="114">
        <f t="shared" si="221"/>
        <v>80</v>
      </c>
      <c r="J80" s="114">
        <f t="shared" si="221"/>
        <v>160</v>
      </c>
      <c r="K80" s="114">
        <f t="shared" si="221"/>
        <v>160</v>
      </c>
      <c r="L80" s="114">
        <f t="shared" si="221"/>
        <v>240</v>
      </c>
      <c r="M80" s="114">
        <f t="shared" si="221"/>
        <v>400</v>
      </c>
      <c r="N80" s="114">
        <f t="shared" si="221"/>
        <v>400</v>
      </c>
      <c r="O80" s="114">
        <f t="shared" si="221"/>
        <v>480</v>
      </c>
      <c r="P80" s="114">
        <f t="shared" si="221"/>
        <v>640</v>
      </c>
      <c r="Q80" s="114">
        <f t="shared" si="221"/>
        <v>720</v>
      </c>
      <c r="R80" s="114">
        <f t="shared" si="221"/>
        <v>720</v>
      </c>
      <c r="S80" s="114">
        <f t="shared" si="221"/>
        <v>880</v>
      </c>
      <c r="T80" s="114">
        <f t="shared" si="221"/>
        <v>960</v>
      </c>
      <c r="U80" s="114">
        <f t="shared" si="221"/>
        <v>1120</v>
      </c>
      <c r="V80" s="114">
        <f t="shared" si="221"/>
        <v>1120</v>
      </c>
      <c r="W80" s="114">
        <f t="shared" si="221"/>
        <v>1200</v>
      </c>
      <c r="X80" s="114">
        <f t="shared" si="221"/>
        <v>1360</v>
      </c>
      <c r="Y80" s="114">
        <f t="shared" si="221"/>
        <v>1440</v>
      </c>
      <c r="Z80" s="114">
        <f t="shared" si="221"/>
        <v>1520</v>
      </c>
      <c r="AA80" s="114">
        <f t="shared" si="221"/>
        <v>1600</v>
      </c>
      <c r="AB80" s="114">
        <f t="shared" si="221"/>
        <v>1680</v>
      </c>
      <c r="AC80" s="114">
        <f t="shared" si="221"/>
        <v>1840</v>
      </c>
      <c r="AD80" s="114">
        <f t="shared" si="221"/>
        <v>1920</v>
      </c>
      <c r="AE80" s="114">
        <f t="shared" si="221"/>
        <v>2000</v>
      </c>
      <c r="AF80" s="114">
        <f t="shared" si="221"/>
        <v>2160</v>
      </c>
      <c r="AG80" s="114">
        <f t="shared" si="221"/>
        <v>2160</v>
      </c>
      <c r="AH80" s="114">
        <f t="shared" ref="AH80:BI80" si="222">AH46</f>
        <v>2320</v>
      </c>
      <c r="AI80" s="114">
        <f t="shared" si="222"/>
        <v>2400</v>
      </c>
      <c r="AJ80" s="114">
        <f t="shared" si="222"/>
        <v>2480</v>
      </c>
      <c r="AK80" s="114">
        <f t="shared" si="222"/>
        <v>2640</v>
      </c>
      <c r="AL80" s="114">
        <f t="shared" si="222"/>
        <v>2720</v>
      </c>
      <c r="AM80" s="114">
        <f t="shared" si="222"/>
        <v>2800</v>
      </c>
      <c r="AN80" s="114">
        <f t="shared" si="222"/>
        <v>2800</v>
      </c>
      <c r="AO80" s="114">
        <f t="shared" si="222"/>
        <v>2960</v>
      </c>
      <c r="AP80" s="114">
        <f t="shared" si="222"/>
        <v>3040</v>
      </c>
      <c r="AQ80" s="114">
        <f t="shared" si="222"/>
        <v>3200</v>
      </c>
      <c r="AR80" s="114">
        <f t="shared" si="222"/>
        <v>3280</v>
      </c>
      <c r="AS80" s="114">
        <f t="shared" si="222"/>
        <v>3280</v>
      </c>
      <c r="AT80" s="114">
        <f t="shared" si="222"/>
        <v>3440</v>
      </c>
      <c r="AU80" s="114">
        <f t="shared" si="222"/>
        <v>3520</v>
      </c>
      <c r="AV80" s="114">
        <f t="shared" si="222"/>
        <v>3680</v>
      </c>
      <c r="AW80" s="114">
        <f t="shared" si="222"/>
        <v>3760</v>
      </c>
      <c r="AX80" s="114">
        <f t="shared" si="222"/>
        <v>3840</v>
      </c>
      <c r="AY80" s="114">
        <f t="shared" si="222"/>
        <v>3920</v>
      </c>
      <c r="AZ80" s="114">
        <f t="shared" si="222"/>
        <v>4080</v>
      </c>
      <c r="BA80" s="114">
        <f t="shared" si="222"/>
        <v>4160</v>
      </c>
      <c r="BB80" s="114">
        <f t="shared" si="222"/>
        <v>4160</v>
      </c>
      <c r="BC80" s="114">
        <f t="shared" si="222"/>
        <v>4320</v>
      </c>
      <c r="BD80" s="114">
        <f t="shared" si="222"/>
        <v>4400</v>
      </c>
      <c r="BE80" s="114">
        <f t="shared" si="222"/>
        <v>4560</v>
      </c>
      <c r="BF80" s="114">
        <f t="shared" si="222"/>
        <v>4640</v>
      </c>
      <c r="BG80" s="114">
        <f t="shared" si="222"/>
        <v>4800</v>
      </c>
      <c r="BH80" s="114">
        <f t="shared" si="222"/>
        <v>4880</v>
      </c>
      <c r="BI80" s="114">
        <f t="shared" si="222"/>
        <v>4960</v>
      </c>
    </row>
    <row r="81" spans="1:61" outlineLevel="1" x14ac:dyDescent="0.25">
      <c r="A81" s="18" t="s">
        <v>624</v>
      </c>
      <c r="B81" s="114">
        <f t="shared" ref="B81:AG81" si="223">B58</f>
        <v>0</v>
      </c>
      <c r="C81" s="114">
        <f t="shared" si="223"/>
        <v>0</v>
      </c>
      <c r="D81" s="114">
        <f t="shared" si="223"/>
        <v>0</v>
      </c>
      <c r="E81" s="114">
        <f t="shared" si="223"/>
        <v>0</v>
      </c>
      <c r="F81" s="114">
        <f t="shared" si="223"/>
        <v>0</v>
      </c>
      <c r="G81" s="114">
        <f t="shared" si="223"/>
        <v>0</v>
      </c>
      <c r="H81" s="114">
        <f t="shared" si="223"/>
        <v>0</v>
      </c>
      <c r="I81" s="114">
        <f t="shared" si="223"/>
        <v>0</v>
      </c>
      <c r="J81" s="114">
        <f t="shared" si="223"/>
        <v>0</v>
      </c>
      <c r="K81" s="114">
        <f t="shared" si="223"/>
        <v>0</v>
      </c>
      <c r="L81" s="114">
        <f t="shared" si="223"/>
        <v>0</v>
      </c>
      <c r="M81" s="114">
        <f t="shared" si="223"/>
        <v>10000</v>
      </c>
      <c r="N81" s="114">
        <f t="shared" si="223"/>
        <v>10000</v>
      </c>
      <c r="O81" s="114">
        <f t="shared" si="223"/>
        <v>10000</v>
      </c>
      <c r="P81" s="114">
        <f t="shared" si="223"/>
        <v>20000</v>
      </c>
      <c r="Q81" s="114">
        <f t="shared" si="223"/>
        <v>20000</v>
      </c>
      <c r="R81" s="114">
        <f t="shared" si="223"/>
        <v>20000</v>
      </c>
      <c r="S81" s="114">
        <f t="shared" si="223"/>
        <v>30000</v>
      </c>
      <c r="T81" s="114">
        <f t="shared" si="223"/>
        <v>30000</v>
      </c>
      <c r="U81" s="114">
        <f t="shared" si="223"/>
        <v>30000</v>
      </c>
      <c r="V81" s="114">
        <f t="shared" si="223"/>
        <v>30000</v>
      </c>
      <c r="W81" s="114">
        <f t="shared" si="223"/>
        <v>30000</v>
      </c>
      <c r="X81" s="114">
        <f t="shared" si="223"/>
        <v>40000</v>
      </c>
      <c r="Y81" s="114">
        <f t="shared" si="223"/>
        <v>40000</v>
      </c>
      <c r="Z81" s="114">
        <f t="shared" si="223"/>
        <v>40000</v>
      </c>
      <c r="AA81" s="114">
        <f t="shared" si="223"/>
        <v>50000</v>
      </c>
      <c r="AB81" s="114">
        <f t="shared" si="223"/>
        <v>50000</v>
      </c>
      <c r="AC81" s="114">
        <f t="shared" si="223"/>
        <v>50000</v>
      </c>
      <c r="AD81" s="114">
        <f t="shared" si="223"/>
        <v>60000</v>
      </c>
      <c r="AE81" s="114">
        <f t="shared" si="223"/>
        <v>60000</v>
      </c>
      <c r="AF81" s="114">
        <f t="shared" si="223"/>
        <v>60000</v>
      </c>
      <c r="AG81" s="114">
        <f t="shared" si="223"/>
        <v>60000</v>
      </c>
      <c r="AH81" s="114">
        <f t="shared" ref="AH81:BI81" si="224">AH58</f>
        <v>60000</v>
      </c>
      <c r="AI81" s="114">
        <f t="shared" si="224"/>
        <v>70000</v>
      </c>
      <c r="AJ81" s="114">
        <f t="shared" si="224"/>
        <v>70000</v>
      </c>
      <c r="AK81" s="114">
        <f t="shared" si="224"/>
        <v>70000</v>
      </c>
      <c r="AL81" s="114">
        <f t="shared" si="224"/>
        <v>80000</v>
      </c>
      <c r="AM81" s="114">
        <f t="shared" si="224"/>
        <v>80000</v>
      </c>
      <c r="AN81" s="114">
        <f t="shared" si="224"/>
        <v>80000</v>
      </c>
      <c r="AO81" s="114">
        <f t="shared" si="224"/>
        <v>90000</v>
      </c>
      <c r="AP81" s="114">
        <f t="shared" si="224"/>
        <v>90000</v>
      </c>
      <c r="AQ81" s="114">
        <f t="shared" si="224"/>
        <v>90000</v>
      </c>
      <c r="AR81" s="114">
        <f t="shared" si="224"/>
        <v>90000</v>
      </c>
      <c r="AS81" s="114">
        <f t="shared" si="224"/>
        <v>90000</v>
      </c>
      <c r="AT81" s="114">
        <f t="shared" si="224"/>
        <v>100000</v>
      </c>
      <c r="AU81" s="114">
        <f t="shared" si="224"/>
        <v>100000</v>
      </c>
      <c r="AV81" s="114">
        <f t="shared" si="224"/>
        <v>100000</v>
      </c>
      <c r="AW81" s="114">
        <f t="shared" si="224"/>
        <v>110000</v>
      </c>
      <c r="AX81" s="114">
        <f t="shared" si="224"/>
        <v>110000</v>
      </c>
      <c r="AY81" s="114">
        <f t="shared" si="224"/>
        <v>110000</v>
      </c>
      <c r="AZ81" s="114">
        <f t="shared" si="224"/>
        <v>120000</v>
      </c>
      <c r="BA81" s="114">
        <f t="shared" si="224"/>
        <v>120000</v>
      </c>
      <c r="BB81" s="114">
        <f t="shared" si="224"/>
        <v>120000</v>
      </c>
      <c r="BC81" s="114">
        <f t="shared" si="224"/>
        <v>120000</v>
      </c>
      <c r="BD81" s="114">
        <f t="shared" si="224"/>
        <v>120000</v>
      </c>
      <c r="BE81" s="114">
        <f t="shared" si="224"/>
        <v>130000</v>
      </c>
      <c r="BF81" s="114">
        <f t="shared" si="224"/>
        <v>130000</v>
      </c>
      <c r="BG81" s="114">
        <f t="shared" si="224"/>
        <v>140000</v>
      </c>
      <c r="BH81" s="114">
        <f t="shared" si="224"/>
        <v>140000</v>
      </c>
      <c r="BI81" s="114">
        <f t="shared" si="224"/>
        <v>140000</v>
      </c>
    </row>
    <row r="82" spans="1:61" ht="17" outlineLevel="1" thickBot="1" x14ac:dyDescent="0.3">
      <c r="A82" s="18" t="s">
        <v>625</v>
      </c>
      <c r="B82" s="114">
        <f t="shared" ref="B82:AG82" si="225">B76</f>
        <v>14</v>
      </c>
      <c r="C82" s="114">
        <f t="shared" si="225"/>
        <v>28</v>
      </c>
      <c r="D82" s="114">
        <f t="shared" si="225"/>
        <v>167</v>
      </c>
      <c r="E82" s="114">
        <f t="shared" si="225"/>
        <v>181</v>
      </c>
      <c r="F82" s="114">
        <f t="shared" si="225"/>
        <v>195</v>
      </c>
      <c r="G82" s="114">
        <f t="shared" si="225"/>
        <v>209</v>
      </c>
      <c r="H82" s="114">
        <f t="shared" si="225"/>
        <v>223</v>
      </c>
      <c r="I82" s="114">
        <f t="shared" si="225"/>
        <v>265</v>
      </c>
      <c r="J82" s="114">
        <f t="shared" si="225"/>
        <v>321</v>
      </c>
      <c r="K82" s="114">
        <f t="shared" si="225"/>
        <v>530</v>
      </c>
      <c r="L82" s="114">
        <f t="shared" si="225"/>
        <v>892</v>
      </c>
      <c r="M82" s="114">
        <f t="shared" si="225"/>
        <v>1032</v>
      </c>
      <c r="N82" s="114">
        <f t="shared" si="225"/>
        <v>1422</v>
      </c>
      <c r="O82" s="114">
        <f t="shared" si="225"/>
        <v>1687</v>
      </c>
      <c r="P82" s="114">
        <f t="shared" si="225"/>
        <v>1952</v>
      </c>
      <c r="Q82" s="114">
        <f t="shared" si="225"/>
        <v>2217</v>
      </c>
      <c r="R82" s="114">
        <f t="shared" si="225"/>
        <v>2607</v>
      </c>
      <c r="S82" s="114">
        <f t="shared" si="225"/>
        <v>2747</v>
      </c>
      <c r="T82" s="114">
        <f t="shared" si="225"/>
        <v>3137</v>
      </c>
      <c r="U82" s="114">
        <f t="shared" si="225"/>
        <v>3402</v>
      </c>
      <c r="V82" s="114">
        <f t="shared" si="225"/>
        <v>3667</v>
      </c>
      <c r="W82" s="114">
        <f t="shared" si="225"/>
        <v>3946</v>
      </c>
      <c r="X82" s="114">
        <f t="shared" si="225"/>
        <v>4350</v>
      </c>
      <c r="Y82" s="114">
        <f t="shared" si="225"/>
        <v>4629</v>
      </c>
      <c r="Z82" s="114">
        <f t="shared" si="225"/>
        <v>4908</v>
      </c>
      <c r="AA82" s="114">
        <f t="shared" si="225"/>
        <v>5312</v>
      </c>
      <c r="AB82" s="114">
        <f t="shared" si="225"/>
        <v>5466</v>
      </c>
      <c r="AC82" s="114">
        <f t="shared" si="225"/>
        <v>5870</v>
      </c>
      <c r="AD82" s="114">
        <f t="shared" si="225"/>
        <v>6149</v>
      </c>
      <c r="AE82" s="114">
        <f t="shared" si="225"/>
        <v>6553</v>
      </c>
      <c r="AF82" s="114">
        <f t="shared" si="225"/>
        <v>6832</v>
      </c>
      <c r="AG82" s="114">
        <f t="shared" si="225"/>
        <v>7111</v>
      </c>
      <c r="AH82" s="114">
        <f t="shared" ref="AH82:BI82" si="226">AH76</f>
        <v>7390</v>
      </c>
      <c r="AI82" s="114">
        <f t="shared" si="226"/>
        <v>7794</v>
      </c>
      <c r="AJ82" s="114">
        <f t="shared" si="226"/>
        <v>8073</v>
      </c>
      <c r="AK82" s="114">
        <f t="shared" si="226"/>
        <v>8352</v>
      </c>
      <c r="AL82" s="114">
        <f t="shared" si="226"/>
        <v>8756</v>
      </c>
      <c r="AM82" s="114">
        <f t="shared" si="226"/>
        <v>9035</v>
      </c>
      <c r="AN82" s="114">
        <f t="shared" si="226"/>
        <v>9314</v>
      </c>
      <c r="AO82" s="114">
        <f t="shared" si="226"/>
        <v>9593</v>
      </c>
      <c r="AP82" s="114">
        <f t="shared" si="226"/>
        <v>9997</v>
      </c>
      <c r="AQ82" s="114">
        <f t="shared" si="226"/>
        <v>10276</v>
      </c>
      <c r="AR82" s="114">
        <f t="shared" si="226"/>
        <v>10555</v>
      </c>
      <c r="AS82" s="114">
        <f t="shared" si="226"/>
        <v>10959</v>
      </c>
      <c r="AT82" s="114">
        <f t="shared" si="226"/>
        <v>11238</v>
      </c>
      <c r="AU82" s="114">
        <f t="shared" si="226"/>
        <v>11517</v>
      </c>
      <c r="AV82" s="114">
        <f t="shared" si="226"/>
        <v>11796</v>
      </c>
      <c r="AW82" s="114">
        <f t="shared" si="226"/>
        <v>12200</v>
      </c>
      <c r="AX82" s="114">
        <f t="shared" si="226"/>
        <v>12479</v>
      </c>
      <c r="AY82" s="114">
        <f t="shared" si="226"/>
        <v>12883</v>
      </c>
      <c r="AZ82" s="114">
        <f t="shared" si="226"/>
        <v>13037</v>
      </c>
      <c r="BA82" s="114">
        <f t="shared" si="226"/>
        <v>13455</v>
      </c>
      <c r="BB82" s="114">
        <f t="shared" si="226"/>
        <v>13748</v>
      </c>
      <c r="BC82" s="114">
        <f t="shared" si="226"/>
        <v>14041</v>
      </c>
      <c r="BD82" s="114">
        <f t="shared" si="226"/>
        <v>14459</v>
      </c>
      <c r="BE82" s="114">
        <f t="shared" si="226"/>
        <v>14752</v>
      </c>
      <c r="BF82" s="114">
        <f t="shared" si="226"/>
        <v>15170</v>
      </c>
      <c r="BG82" s="114">
        <f t="shared" si="226"/>
        <v>15463</v>
      </c>
      <c r="BH82" s="114">
        <f t="shared" si="226"/>
        <v>15756</v>
      </c>
      <c r="BI82" s="114">
        <f t="shared" si="226"/>
        <v>16174</v>
      </c>
    </row>
    <row r="83" spans="1:61" x14ac:dyDescent="0.25">
      <c r="A83" s="113" t="s">
        <v>248</v>
      </c>
      <c r="B83" s="120">
        <f>SUM(B79:B82)</f>
        <v>25.200000000000003</v>
      </c>
      <c r="C83" s="120">
        <f t="shared" ref="C83:BI83" si="227">SUM(C79:C82)</f>
        <v>50.400000000000006</v>
      </c>
      <c r="D83" s="120">
        <f t="shared" si="227"/>
        <v>200.6</v>
      </c>
      <c r="E83" s="120">
        <f t="shared" si="227"/>
        <v>225.8</v>
      </c>
      <c r="F83" s="120">
        <f t="shared" si="227"/>
        <v>251</v>
      </c>
      <c r="G83" s="120">
        <f t="shared" si="227"/>
        <v>276.2</v>
      </c>
      <c r="H83" s="120">
        <f t="shared" si="227"/>
        <v>301.39999999999998</v>
      </c>
      <c r="I83" s="120">
        <f t="shared" si="227"/>
        <v>457</v>
      </c>
      <c r="J83" s="120">
        <f t="shared" si="227"/>
        <v>637.79999999999995</v>
      </c>
      <c r="K83" s="120">
        <f t="shared" si="227"/>
        <v>914</v>
      </c>
      <c r="L83" s="120">
        <f t="shared" si="227"/>
        <v>1445.6</v>
      </c>
      <c r="M83" s="120">
        <f t="shared" si="227"/>
        <v>11857.6</v>
      </c>
      <c r="N83" s="120">
        <f t="shared" si="227"/>
        <v>12345.487999999999</v>
      </c>
      <c r="O83" s="120">
        <f t="shared" si="227"/>
        <v>12799.548000000001</v>
      </c>
      <c r="P83" s="120">
        <f t="shared" si="227"/>
        <v>23333.608</v>
      </c>
      <c r="Q83" s="120">
        <f t="shared" si="227"/>
        <v>23787.668000000001</v>
      </c>
      <c r="R83" s="120">
        <f t="shared" si="227"/>
        <v>24286.727999999999</v>
      </c>
      <c r="S83" s="120">
        <f t="shared" si="227"/>
        <v>34695.788</v>
      </c>
      <c r="T83" s="120">
        <f t="shared" si="227"/>
        <v>35274.847999999998</v>
      </c>
      <c r="U83" s="120">
        <f t="shared" si="227"/>
        <v>35808.907999999996</v>
      </c>
      <c r="V83" s="120">
        <f t="shared" si="227"/>
        <v>36182.968000000001</v>
      </c>
      <c r="W83" s="120">
        <f t="shared" si="227"/>
        <v>36661.934000000001</v>
      </c>
      <c r="X83" s="120">
        <f t="shared" si="227"/>
        <v>47345.9</v>
      </c>
      <c r="Y83" s="120">
        <f t="shared" si="227"/>
        <v>47824.866000000002</v>
      </c>
      <c r="Z83" s="120">
        <f t="shared" si="227"/>
        <v>48260.728799999997</v>
      </c>
      <c r="AA83" s="120">
        <f t="shared" si="227"/>
        <v>58861.938199999997</v>
      </c>
      <c r="AB83" s="120">
        <f t="shared" si="227"/>
        <v>59213.147599999997</v>
      </c>
      <c r="AC83" s="120">
        <f t="shared" si="227"/>
        <v>59894.357000000004</v>
      </c>
      <c r="AD83" s="120">
        <f t="shared" si="227"/>
        <v>70370.566399999996</v>
      </c>
      <c r="AE83" s="120">
        <f t="shared" si="227"/>
        <v>70971.775800000003</v>
      </c>
      <c r="AF83" s="120">
        <f t="shared" si="227"/>
        <v>71527.985199999996</v>
      </c>
      <c r="AG83" s="120">
        <f t="shared" si="227"/>
        <v>71924.194600000003</v>
      </c>
      <c r="AH83" s="120">
        <f t="shared" si="227"/>
        <v>72480.40400000001</v>
      </c>
      <c r="AI83" s="120">
        <f t="shared" si="227"/>
        <v>83081.613400000002</v>
      </c>
      <c r="AJ83" s="120">
        <f t="shared" si="227"/>
        <v>83557.822799999994</v>
      </c>
      <c r="AK83" s="120">
        <f t="shared" si="227"/>
        <v>84114.032200000001</v>
      </c>
      <c r="AL83" s="120">
        <f t="shared" si="227"/>
        <v>94671.745492799993</v>
      </c>
      <c r="AM83" s="120">
        <f t="shared" si="227"/>
        <v>95146.381020500005</v>
      </c>
      <c r="AN83" s="120">
        <f t="shared" si="227"/>
        <v>95541.016548200001</v>
      </c>
      <c r="AO83" s="120">
        <f t="shared" si="227"/>
        <v>106095.6520759</v>
      </c>
      <c r="AP83" s="120">
        <f t="shared" si="227"/>
        <v>106695.28760359999</v>
      </c>
      <c r="AQ83" s="120">
        <f t="shared" si="227"/>
        <v>107249.92313130001</v>
      </c>
      <c r="AR83" s="120">
        <f t="shared" si="227"/>
        <v>107724.558659</v>
      </c>
      <c r="AS83" s="120">
        <f t="shared" si="227"/>
        <v>108244.1941867</v>
      </c>
      <c r="AT83" s="120">
        <f t="shared" si="227"/>
        <v>118798.8297144</v>
      </c>
      <c r="AU83" s="120">
        <f t="shared" si="227"/>
        <v>119273.46524210001</v>
      </c>
      <c r="AV83" s="120">
        <f t="shared" si="227"/>
        <v>119828.1007698</v>
      </c>
      <c r="AW83" s="120">
        <f t="shared" si="227"/>
        <v>130427.7362975</v>
      </c>
      <c r="AX83" s="120">
        <f t="shared" si="227"/>
        <v>130862.8319532508</v>
      </c>
      <c r="AY83" s="120">
        <f t="shared" si="227"/>
        <v>131461.46991537409</v>
      </c>
      <c r="AZ83" s="120">
        <f t="shared" si="227"/>
        <v>141890.10787749739</v>
      </c>
      <c r="BA83" s="120">
        <f t="shared" si="227"/>
        <v>142513.16747254098</v>
      </c>
      <c r="BB83" s="120">
        <f t="shared" si="227"/>
        <v>142931.22706758461</v>
      </c>
      <c r="BC83" s="120">
        <f t="shared" si="227"/>
        <v>143509.2866626282</v>
      </c>
      <c r="BD83" s="120">
        <f t="shared" si="227"/>
        <v>144132.3462576718</v>
      </c>
      <c r="BE83" s="120">
        <f t="shared" si="227"/>
        <v>154710.4058527154</v>
      </c>
      <c r="BF83" s="120">
        <f t="shared" si="227"/>
        <v>155333.46544775899</v>
      </c>
      <c r="BG83" s="120">
        <f t="shared" si="227"/>
        <v>165911.52504280259</v>
      </c>
      <c r="BH83" s="120">
        <f t="shared" si="227"/>
        <v>166409.58463784619</v>
      </c>
      <c r="BI83" s="120">
        <f t="shared" si="227"/>
        <v>167032.64423288981</v>
      </c>
    </row>
    <row r="85" spans="1:61" x14ac:dyDescent="0.25">
      <c r="A85" s="3" t="s">
        <v>56</v>
      </c>
      <c r="B85" s="131">
        <v>43831</v>
      </c>
      <c r="C85" s="131">
        <v>43862</v>
      </c>
      <c r="D85" s="131">
        <v>43891</v>
      </c>
      <c r="E85" s="131">
        <v>43922</v>
      </c>
      <c r="F85" s="131">
        <v>43952</v>
      </c>
      <c r="G85" s="131">
        <v>43983</v>
      </c>
      <c r="H85" s="131">
        <v>44013</v>
      </c>
      <c r="I85" s="131">
        <v>44044</v>
      </c>
      <c r="J85" s="131">
        <v>44075</v>
      </c>
      <c r="K85" s="131">
        <v>44105</v>
      </c>
      <c r="L85" s="131">
        <v>44136</v>
      </c>
      <c r="M85" s="131">
        <v>44166</v>
      </c>
      <c r="N85" s="131">
        <v>44197</v>
      </c>
      <c r="O85" s="131">
        <v>44228</v>
      </c>
      <c r="P85" s="131">
        <v>44256</v>
      </c>
      <c r="Q85" s="131">
        <v>44287</v>
      </c>
      <c r="R85" s="131">
        <v>44317</v>
      </c>
      <c r="S85" s="131">
        <v>44348</v>
      </c>
      <c r="T85" s="131">
        <v>44378</v>
      </c>
      <c r="U85" s="131">
        <v>44409</v>
      </c>
      <c r="V85" s="131">
        <v>44440</v>
      </c>
      <c r="W85" s="131">
        <v>44470</v>
      </c>
      <c r="X85" s="131">
        <v>44501</v>
      </c>
      <c r="Y85" s="131">
        <v>44531</v>
      </c>
      <c r="Z85" s="131">
        <v>44562</v>
      </c>
      <c r="AA85" s="131">
        <v>44593</v>
      </c>
      <c r="AB85" s="131">
        <v>44621</v>
      </c>
      <c r="AC85" s="131">
        <v>44652</v>
      </c>
      <c r="AD85" s="131">
        <v>44682</v>
      </c>
      <c r="AE85" s="131">
        <v>44713</v>
      </c>
      <c r="AF85" s="131">
        <v>44743</v>
      </c>
      <c r="AG85" s="131">
        <v>44774</v>
      </c>
      <c r="AH85" s="131">
        <v>44805</v>
      </c>
      <c r="AI85" s="131">
        <v>44835</v>
      </c>
      <c r="AJ85" s="131">
        <v>44866</v>
      </c>
      <c r="AK85" s="131">
        <v>44896</v>
      </c>
      <c r="AL85" s="131">
        <v>44927</v>
      </c>
      <c r="AM85" s="131">
        <v>44958</v>
      </c>
      <c r="AN85" s="131">
        <v>44986</v>
      </c>
      <c r="AO85" s="131">
        <v>45017</v>
      </c>
      <c r="AP85" s="131">
        <v>45047</v>
      </c>
      <c r="AQ85" s="131">
        <v>45078</v>
      </c>
      <c r="AR85" s="131">
        <v>45108</v>
      </c>
      <c r="AS85" s="131">
        <v>45139</v>
      </c>
      <c r="AT85" s="131">
        <v>45170</v>
      </c>
      <c r="AU85" s="131">
        <v>45200</v>
      </c>
      <c r="AV85" s="131">
        <v>45231</v>
      </c>
      <c r="AW85" s="131">
        <v>45261</v>
      </c>
      <c r="AX85" s="131">
        <v>45292</v>
      </c>
      <c r="AY85" s="131">
        <v>45323</v>
      </c>
      <c r="AZ85" s="131">
        <v>45352</v>
      </c>
      <c r="BA85" s="131">
        <v>45383</v>
      </c>
      <c r="BB85" s="131">
        <v>45413</v>
      </c>
      <c r="BC85" s="131">
        <v>45444</v>
      </c>
      <c r="BD85" s="131">
        <v>45474</v>
      </c>
      <c r="BE85" s="131">
        <v>45505</v>
      </c>
      <c r="BF85" s="131">
        <v>45536</v>
      </c>
      <c r="BG85" s="131">
        <v>45566</v>
      </c>
      <c r="BH85" s="131">
        <v>45597</v>
      </c>
      <c r="BI85" s="131">
        <v>45627</v>
      </c>
    </row>
    <row r="86" spans="1:61" outlineLevel="1" x14ac:dyDescent="0.25">
      <c r="A86" s="18" t="s">
        <v>249</v>
      </c>
      <c r="B86" s="114">
        <f>B75+B55+B43+B33</f>
        <v>50.400000000000006</v>
      </c>
      <c r="C86" s="114">
        <f t="shared" ref="C86:BH86" si="228">C75+C55+C43+C33</f>
        <v>100.80000000000001</v>
      </c>
      <c r="D86" s="114">
        <f t="shared" si="228"/>
        <v>401.2</v>
      </c>
      <c r="E86" s="114">
        <f t="shared" si="228"/>
        <v>451.6</v>
      </c>
      <c r="F86" s="114">
        <f t="shared" si="228"/>
        <v>502</v>
      </c>
      <c r="G86" s="114">
        <f t="shared" si="228"/>
        <v>552.4</v>
      </c>
      <c r="H86" s="114">
        <f t="shared" si="228"/>
        <v>602.79999999999995</v>
      </c>
      <c r="I86" s="114">
        <f t="shared" si="228"/>
        <v>1154</v>
      </c>
      <c r="J86" s="114">
        <f t="shared" si="228"/>
        <v>1755.6</v>
      </c>
      <c r="K86" s="114">
        <f t="shared" si="228"/>
        <v>2308</v>
      </c>
      <c r="L86" s="114">
        <f t="shared" si="228"/>
        <v>3611.2</v>
      </c>
      <c r="M86" s="114">
        <f t="shared" si="228"/>
        <v>24915.200000000001</v>
      </c>
      <c r="N86" s="114">
        <f t="shared" si="228"/>
        <v>25890.975999999999</v>
      </c>
      <c r="O86" s="114">
        <f t="shared" si="228"/>
        <v>27039.096000000001</v>
      </c>
      <c r="P86" s="114">
        <f t="shared" si="228"/>
        <v>48587.216</v>
      </c>
      <c r="Q86" s="114">
        <f t="shared" si="228"/>
        <v>49735.336000000003</v>
      </c>
      <c r="R86" s="114">
        <f t="shared" si="228"/>
        <v>50733.455999999998</v>
      </c>
      <c r="S86" s="114">
        <f t="shared" si="228"/>
        <v>72031.576000000001</v>
      </c>
      <c r="T86" s="114">
        <f t="shared" si="228"/>
        <v>73429.695999999996</v>
      </c>
      <c r="U86" s="114">
        <f t="shared" si="228"/>
        <v>74977.816000000006</v>
      </c>
      <c r="V86" s="114">
        <f t="shared" si="228"/>
        <v>75725.936000000002</v>
      </c>
      <c r="W86" s="114">
        <f t="shared" si="228"/>
        <v>76923.868000000002</v>
      </c>
      <c r="X86" s="114">
        <f t="shared" si="228"/>
        <v>98771.8</v>
      </c>
      <c r="Y86" s="114">
        <f t="shared" si="228"/>
        <v>99969.732000000004</v>
      </c>
      <c r="Z86" s="114">
        <f t="shared" si="228"/>
        <v>101081.45759999999</v>
      </c>
      <c r="AA86" s="114">
        <f t="shared" si="228"/>
        <v>122523.87639999999</v>
      </c>
      <c r="AB86" s="114">
        <f t="shared" si="228"/>
        <v>123466.29519999999</v>
      </c>
      <c r="AC86" s="114">
        <f t="shared" si="228"/>
        <v>125308.71400000001</v>
      </c>
      <c r="AD86" s="114">
        <f t="shared" si="228"/>
        <v>146501.13279999999</v>
      </c>
      <c r="AE86" s="114">
        <f t="shared" si="228"/>
        <v>147943.55160000001</v>
      </c>
      <c r="AF86" s="114">
        <f t="shared" si="228"/>
        <v>149535.97039999999</v>
      </c>
      <c r="AG86" s="114">
        <f t="shared" si="228"/>
        <v>150328.38920000001</v>
      </c>
      <c r="AH86" s="114">
        <f t="shared" si="228"/>
        <v>151920.80799999999</v>
      </c>
      <c r="AI86" s="114">
        <f t="shared" si="228"/>
        <v>173363.2268</v>
      </c>
      <c r="AJ86" s="114">
        <f t="shared" si="228"/>
        <v>174555.64559999999</v>
      </c>
      <c r="AK86" s="114">
        <f t="shared" si="228"/>
        <v>176148.0644</v>
      </c>
      <c r="AL86" s="114">
        <f t="shared" si="228"/>
        <v>197503.49098559999</v>
      </c>
      <c r="AM86" s="114">
        <f t="shared" si="228"/>
        <v>198692.76204100001</v>
      </c>
      <c r="AN86" s="114">
        <f t="shared" si="228"/>
        <v>199482.0330964</v>
      </c>
      <c r="AO86" s="114">
        <f t="shared" si="228"/>
        <v>221071.3041518</v>
      </c>
      <c r="AP86" s="114">
        <f t="shared" si="228"/>
        <v>222510.57520719999</v>
      </c>
      <c r="AQ86" s="114">
        <f t="shared" si="228"/>
        <v>224099.84626260001</v>
      </c>
      <c r="AR86" s="114">
        <f t="shared" si="228"/>
        <v>225289.117318</v>
      </c>
      <c r="AS86" s="114">
        <f t="shared" si="228"/>
        <v>226328.3883734</v>
      </c>
      <c r="AT86" s="114">
        <f t="shared" si="228"/>
        <v>247917.65942879999</v>
      </c>
      <c r="AU86" s="114">
        <f t="shared" si="228"/>
        <v>249106.93048420001</v>
      </c>
      <c r="AV86" s="114">
        <f t="shared" si="228"/>
        <v>250696.20153960001</v>
      </c>
      <c r="AW86" s="114">
        <f t="shared" si="228"/>
        <v>272135.472595</v>
      </c>
      <c r="AX86" s="114">
        <f t="shared" si="228"/>
        <v>273245.66390650161</v>
      </c>
      <c r="AY86" s="114">
        <f t="shared" si="228"/>
        <v>274682.93983074819</v>
      </c>
      <c r="AZ86" s="114">
        <f t="shared" si="228"/>
        <v>296020.21575499477</v>
      </c>
      <c r="BA86" s="114">
        <f t="shared" si="228"/>
        <v>297506.33494508202</v>
      </c>
      <c r="BB86" s="114">
        <f t="shared" si="228"/>
        <v>298342.45413516922</v>
      </c>
      <c r="BC86" s="114">
        <f t="shared" si="228"/>
        <v>299978.57332525641</v>
      </c>
      <c r="BD86" s="114">
        <f t="shared" si="228"/>
        <v>301464.6925153436</v>
      </c>
      <c r="BE86" s="114">
        <f t="shared" si="228"/>
        <v>323100.81170543079</v>
      </c>
      <c r="BF86" s="114">
        <f t="shared" si="228"/>
        <v>324586.93089551799</v>
      </c>
      <c r="BG86" s="114">
        <f t="shared" si="228"/>
        <v>346223.05008560518</v>
      </c>
      <c r="BH86" s="114">
        <f t="shared" si="228"/>
        <v>347459.16927569237</v>
      </c>
      <c r="BI86" s="114">
        <f t="shared" ref="BI86" si="229">BI75+BI55+BI43+BI33</f>
        <v>348945.28846577962</v>
      </c>
    </row>
    <row r="87" spans="1:61" ht="17" outlineLevel="1" thickBot="1" x14ac:dyDescent="0.3">
      <c r="A87" s="18" t="s">
        <v>112</v>
      </c>
      <c r="B87" s="114">
        <f>B83</f>
        <v>25.200000000000003</v>
      </c>
      <c r="C87" s="114">
        <f t="shared" ref="C87:BH87" si="230">C83</f>
        <v>50.400000000000006</v>
      </c>
      <c r="D87" s="114">
        <f t="shared" si="230"/>
        <v>200.6</v>
      </c>
      <c r="E87" s="114">
        <f t="shared" si="230"/>
        <v>225.8</v>
      </c>
      <c r="F87" s="114">
        <f t="shared" si="230"/>
        <v>251</v>
      </c>
      <c r="G87" s="114">
        <f t="shared" si="230"/>
        <v>276.2</v>
      </c>
      <c r="H87" s="114">
        <f t="shared" si="230"/>
        <v>301.39999999999998</v>
      </c>
      <c r="I87" s="114">
        <f t="shared" si="230"/>
        <v>457</v>
      </c>
      <c r="J87" s="114">
        <f t="shared" si="230"/>
        <v>637.79999999999995</v>
      </c>
      <c r="K87" s="114">
        <f t="shared" si="230"/>
        <v>914</v>
      </c>
      <c r="L87" s="114">
        <f t="shared" si="230"/>
        <v>1445.6</v>
      </c>
      <c r="M87" s="114">
        <f t="shared" si="230"/>
        <v>11857.6</v>
      </c>
      <c r="N87" s="114">
        <f t="shared" si="230"/>
        <v>12345.487999999999</v>
      </c>
      <c r="O87" s="114">
        <f t="shared" si="230"/>
        <v>12799.548000000001</v>
      </c>
      <c r="P87" s="114">
        <f t="shared" si="230"/>
        <v>23333.608</v>
      </c>
      <c r="Q87" s="114">
        <f t="shared" si="230"/>
        <v>23787.668000000001</v>
      </c>
      <c r="R87" s="114">
        <f t="shared" si="230"/>
        <v>24286.727999999999</v>
      </c>
      <c r="S87" s="114">
        <f t="shared" si="230"/>
        <v>34695.788</v>
      </c>
      <c r="T87" s="114">
        <f t="shared" si="230"/>
        <v>35274.847999999998</v>
      </c>
      <c r="U87" s="114">
        <f t="shared" si="230"/>
        <v>35808.907999999996</v>
      </c>
      <c r="V87" s="114">
        <f t="shared" si="230"/>
        <v>36182.968000000001</v>
      </c>
      <c r="W87" s="114">
        <f t="shared" si="230"/>
        <v>36661.934000000001</v>
      </c>
      <c r="X87" s="114">
        <f t="shared" si="230"/>
        <v>47345.9</v>
      </c>
      <c r="Y87" s="114">
        <f t="shared" si="230"/>
        <v>47824.866000000002</v>
      </c>
      <c r="Z87" s="114">
        <f t="shared" si="230"/>
        <v>48260.728799999997</v>
      </c>
      <c r="AA87" s="114">
        <f t="shared" si="230"/>
        <v>58861.938199999997</v>
      </c>
      <c r="AB87" s="114">
        <f t="shared" si="230"/>
        <v>59213.147599999997</v>
      </c>
      <c r="AC87" s="114">
        <f t="shared" si="230"/>
        <v>59894.357000000004</v>
      </c>
      <c r="AD87" s="114">
        <f t="shared" si="230"/>
        <v>70370.566399999996</v>
      </c>
      <c r="AE87" s="114">
        <f t="shared" si="230"/>
        <v>70971.775800000003</v>
      </c>
      <c r="AF87" s="114">
        <f t="shared" si="230"/>
        <v>71527.985199999996</v>
      </c>
      <c r="AG87" s="114">
        <f t="shared" si="230"/>
        <v>71924.194600000003</v>
      </c>
      <c r="AH87" s="114">
        <f t="shared" si="230"/>
        <v>72480.40400000001</v>
      </c>
      <c r="AI87" s="114">
        <f t="shared" si="230"/>
        <v>83081.613400000002</v>
      </c>
      <c r="AJ87" s="114">
        <f t="shared" si="230"/>
        <v>83557.822799999994</v>
      </c>
      <c r="AK87" s="114">
        <f t="shared" si="230"/>
        <v>84114.032200000001</v>
      </c>
      <c r="AL87" s="114">
        <f t="shared" si="230"/>
        <v>94671.745492799993</v>
      </c>
      <c r="AM87" s="114">
        <f t="shared" si="230"/>
        <v>95146.381020500005</v>
      </c>
      <c r="AN87" s="114">
        <f t="shared" si="230"/>
        <v>95541.016548200001</v>
      </c>
      <c r="AO87" s="114">
        <f t="shared" si="230"/>
        <v>106095.6520759</v>
      </c>
      <c r="AP87" s="114">
        <f t="shared" si="230"/>
        <v>106695.28760359999</v>
      </c>
      <c r="AQ87" s="114">
        <f t="shared" si="230"/>
        <v>107249.92313130001</v>
      </c>
      <c r="AR87" s="114">
        <f t="shared" si="230"/>
        <v>107724.558659</v>
      </c>
      <c r="AS87" s="114">
        <f t="shared" si="230"/>
        <v>108244.1941867</v>
      </c>
      <c r="AT87" s="114">
        <f t="shared" si="230"/>
        <v>118798.8297144</v>
      </c>
      <c r="AU87" s="114">
        <f t="shared" si="230"/>
        <v>119273.46524210001</v>
      </c>
      <c r="AV87" s="114">
        <f t="shared" si="230"/>
        <v>119828.1007698</v>
      </c>
      <c r="AW87" s="114">
        <f t="shared" si="230"/>
        <v>130427.7362975</v>
      </c>
      <c r="AX87" s="114">
        <f t="shared" si="230"/>
        <v>130862.8319532508</v>
      </c>
      <c r="AY87" s="114">
        <f t="shared" si="230"/>
        <v>131461.46991537409</v>
      </c>
      <c r="AZ87" s="114">
        <f t="shared" si="230"/>
        <v>141890.10787749739</v>
      </c>
      <c r="BA87" s="114">
        <f t="shared" si="230"/>
        <v>142513.16747254098</v>
      </c>
      <c r="BB87" s="114">
        <f t="shared" si="230"/>
        <v>142931.22706758461</v>
      </c>
      <c r="BC87" s="114">
        <f t="shared" si="230"/>
        <v>143509.2866626282</v>
      </c>
      <c r="BD87" s="114">
        <f t="shared" si="230"/>
        <v>144132.3462576718</v>
      </c>
      <c r="BE87" s="114">
        <f t="shared" si="230"/>
        <v>154710.4058527154</v>
      </c>
      <c r="BF87" s="114">
        <f t="shared" si="230"/>
        <v>155333.46544775899</v>
      </c>
      <c r="BG87" s="114">
        <f t="shared" si="230"/>
        <v>165911.52504280259</v>
      </c>
      <c r="BH87" s="114">
        <f t="shared" si="230"/>
        <v>166409.58463784619</v>
      </c>
      <c r="BI87" s="114">
        <f t="shared" ref="BI87" si="231">BI83</f>
        <v>167032.64423288981</v>
      </c>
    </row>
    <row r="88" spans="1:61" x14ac:dyDescent="0.25">
      <c r="A88" s="113" t="s">
        <v>250</v>
      </c>
      <c r="B88" s="120">
        <f>B86-B87</f>
        <v>25.200000000000003</v>
      </c>
      <c r="C88" s="120">
        <f t="shared" ref="C88:BI88" si="232">C86-C87</f>
        <v>50.400000000000006</v>
      </c>
      <c r="D88" s="120">
        <f t="shared" si="232"/>
        <v>200.6</v>
      </c>
      <c r="E88" s="120">
        <f t="shared" si="232"/>
        <v>225.8</v>
      </c>
      <c r="F88" s="120">
        <f t="shared" si="232"/>
        <v>251</v>
      </c>
      <c r="G88" s="120">
        <f t="shared" si="232"/>
        <v>276.2</v>
      </c>
      <c r="H88" s="120">
        <f t="shared" si="232"/>
        <v>301.39999999999998</v>
      </c>
      <c r="I88" s="120">
        <f t="shared" si="232"/>
        <v>697</v>
      </c>
      <c r="J88" s="120">
        <f t="shared" si="232"/>
        <v>1117.8</v>
      </c>
      <c r="K88" s="120">
        <f t="shared" si="232"/>
        <v>1394</v>
      </c>
      <c r="L88" s="120">
        <f t="shared" si="232"/>
        <v>2165.6</v>
      </c>
      <c r="M88" s="120">
        <f t="shared" si="232"/>
        <v>13057.6</v>
      </c>
      <c r="N88" s="120">
        <f t="shared" si="232"/>
        <v>13545.487999999999</v>
      </c>
      <c r="O88" s="120">
        <f t="shared" si="232"/>
        <v>14239.548000000001</v>
      </c>
      <c r="P88" s="120">
        <f t="shared" si="232"/>
        <v>25253.608</v>
      </c>
      <c r="Q88" s="120">
        <f t="shared" si="232"/>
        <v>25947.668000000001</v>
      </c>
      <c r="R88" s="120">
        <f t="shared" si="232"/>
        <v>26446.727999999999</v>
      </c>
      <c r="S88" s="120">
        <f t="shared" si="232"/>
        <v>37335.788</v>
      </c>
      <c r="T88" s="120">
        <f t="shared" si="232"/>
        <v>38154.847999999998</v>
      </c>
      <c r="U88" s="120">
        <f t="shared" si="232"/>
        <v>39168.90800000001</v>
      </c>
      <c r="V88" s="120">
        <f t="shared" si="232"/>
        <v>39542.968000000001</v>
      </c>
      <c r="W88" s="120">
        <f t="shared" si="232"/>
        <v>40261.934000000001</v>
      </c>
      <c r="X88" s="120">
        <f t="shared" si="232"/>
        <v>51425.9</v>
      </c>
      <c r="Y88" s="120">
        <f t="shared" si="232"/>
        <v>52144.866000000002</v>
      </c>
      <c r="Z88" s="120">
        <f t="shared" si="232"/>
        <v>52820.728799999997</v>
      </c>
      <c r="AA88" s="120">
        <f t="shared" si="232"/>
        <v>63661.938199999997</v>
      </c>
      <c r="AB88" s="120">
        <f t="shared" si="232"/>
        <v>64253.147599999997</v>
      </c>
      <c r="AC88" s="120">
        <f t="shared" si="232"/>
        <v>65414.357000000004</v>
      </c>
      <c r="AD88" s="120">
        <f t="shared" si="232"/>
        <v>76130.566399999996</v>
      </c>
      <c r="AE88" s="120">
        <f t="shared" si="232"/>
        <v>76971.775800000003</v>
      </c>
      <c r="AF88" s="120">
        <f t="shared" si="232"/>
        <v>78007.985199999996</v>
      </c>
      <c r="AG88" s="120">
        <f t="shared" si="232"/>
        <v>78404.194600000003</v>
      </c>
      <c r="AH88" s="120">
        <f t="shared" si="232"/>
        <v>79440.40399999998</v>
      </c>
      <c r="AI88" s="120">
        <f t="shared" si="232"/>
        <v>90281.613400000002</v>
      </c>
      <c r="AJ88" s="120">
        <f t="shared" si="232"/>
        <v>90997.822799999994</v>
      </c>
      <c r="AK88" s="120">
        <f t="shared" si="232"/>
        <v>92034.032200000001</v>
      </c>
      <c r="AL88" s="120">
        <f t="shared" si="232"/>
        <v>102831.74549279999</v>
      </c>
      <c r="AM88" s="120">
        <f t="shared" si="232"/>
        <v>103546.3810205</v>
      </c>
      <c r="AN88" s="120">
        <f t="shared" si="232"/>
        <v>103941.0165482</v>
      </c>
      <c r="AO88" s="120">
        <f t="shared" si="232"/>
        <v>114975.6520759</v>
      </c>
      <c r="AP88" s="120">
        <f t="shared" si="232"/>
        <v>115815.28760359999</v>
      </c>
      <c r="AQ88" s="120">
        <f t="shared" si="232"/>
        <v>116849.92313130001</v>
      </c>
      <c r="AR88" s="120">
        <f t="shared" si="232"/>
        <v>117564.558659</v>
      </c>
      <c r="AS88" s="120">
        <f t="shared" si="232"/>
        <v>118084.1941867</v>
      </c>
      <c r="AT88" s="120">
        <f t="shared" si="232"/>
        <v>129118.8297144</v>
      </c>
      <c r="AU88" s="120">
        <f t="shared" si="232"/>
        <v>129833.46524210001</v>
      </c>
      <c r="AV88" s="120">
        <f t="shared" si="232"/>
        <v>130868.1007698</v>
      </c>
      <c r="AW88" s="120">
        <f t="shared" si="232"/>
        <v>141707.7362975</v>
      </c>
      <c r="AX88" s="120">
        <f t="shared" si="232"/>
        <v>142382.8319532508</v>
      </c>
      <c r="AY88" s="120">
        <f t="shared" si="232"/>
        <v>143221.46991537409</v>
      </c>
      <c r="AZ88" s="120">
        <f t="shared" si="232"/>
        <v>154130.10787749739</v>
      </c>
      <c r="BA88" s="120">
        <f t="shared" si="232"/>
        <v>154993.16747254104</v>
      </c>
      <c r="BB88" s="120">
        <f t="shared" si="232"/>
        <v>155411.22706758461</v>
      </c>
      <c r="BC88" s="120">
        <f t="shared" si="232"/>
        <v>156469.2866626282</v>
      </c>
      <c r="BD88" s="120">
        <f t="shared" si="232"/>
        <v>157332.3462576718</v>
      </c>
      <c r="BE88" s="120">
        <f t="shared" si="232"/>
        <v>168390.4058527154</v>
      </c>
      <c r="BF88" s="120">
        <f t="shared" si="232"/>
        <v>169253.46544775899</v>
      </c>
      <c r="BG88" s="120">
        <f t="shared" si="232"/>
        <v>180311.52504280259</v>
      </c>
      <c r="BH88" s="120">
        <f t="shared" si="232"/>
        <v>181049.58463784619</v>
      </c>
      <c r="BI88" s="120">
        <f t="shared" si="232"/>
        <v>181912.64423288981</v>
      </c>
    </row>
    <row r="89" spans="1:61" x14ac:dyDescent="0.25">
      <c r="A89" s="2" t="s">
        <v>251</v>
      </c>
      <c r="B89" s="132">
        <f>B88/B86</f>
        <v>0.5</v>
      </c>
      <c r="C89" s="132">
        <f t="shared" ref="C89:BI89" si="233">C88/C86</f>
        <v>0.5</v>
      </c>
      <c r="D89" s="132">
        <f t="shared" si="233"/>
        <v>0.5</v>
      </c>
      <c r="E89" s="132">
        <f t="shared" si="233"/>
        <v>0.5</v>
      </c>
      <c r="F89" s="132">
        <f t="shared" si="233"/>
        <v>0.5</v>
      </c>
      <c r="G89" s="132">
        <f t="shared" si="233"/>
        <v>0.5</v>
      </c>
      <c r="H89" s="132">
        <f t="shared" si="233"/>
        <v>0.5</v>
      </c>
      <c r="I89" s="132">
        <f t="shared" si="233"/>
        <v>0.60398613518197575</v>
      </c>
      <c r="J89" s="132">
        <f t="shared" si="233"/>
        <v>0.63670539986329455</v>
      </c>
      <c r="K89" s="132">
        <f t="shared" si="233"/>
        <v>0.60398613518197575</v>
      </c>
      <c r="L89" s="132">
        <f t="shared" si="233"/>
        <v>0.59968985378821449</v>
      </c>
      <c r="M89" s="132">
        <f t="shared" si="233"/>
        <v>0.52408168507577702</v>
      </c>
      <c r="N89" s="132">
        <f t="shared" si="233"/>
        <v>0.52317409741525389</v>
      </c>
      <c r="O89" s="132">
        <f t="shared" si="233"/>
        <v>0.52662810916459635</v>
      </c>
      <c r="P89" s="132">
        <f t="shared" si="233"/>
        <v>0.51975828374278532</v>
      </c>
      <c r="Q89" s="132">
        <f t="shared" si="233"/>
        <v>0.52171494327493839</v>
      </c>
      <c r="R89" s="132">
        <f t="shared" si="233"/>
        <v>0.52128772776686061</v>
      </c>
      <c r="S89" s="132">
        <f t="shared" si="233"/>
        <v>0.51832529667267035</v>
      </c>
      <c r="T89" s="132">
        <f t="shared" si="233"/>
        <v>0.51961059460194414</v>
      </c>
      <c r="U89" s="132">
        <f t="shared" si="233"/>
        <v>0.52240662758168377</v>
      </c>
      <c r="V89" s="132">
        <f t="shared" si="233"/>
        <v>0.52218526556079814</v>
      </c>
      <c r="W89" s="132">
        <f t="shared" si="233"/>
        <v>0.52339975935687477</v>
      </c>
      <c r="X89" s="132">
        <f t="shared" si="233"/>
        <v>0.52065366835473281</v>
      </c>
      <c r="Y89" s="132">
        <f t="shared" si="233"/>
        <v>0.52160653986748706</v>
      </c>
      <c r="Z89" s="132">
        <f t="shared" si="233"/>
        <v>0.52255606571308488</v>
      </c>
      <c r="AA89" s="132">
        <f t="shared" si="233"/>
        <v>0.51958801884593331</v>
      </c>
      <c r="AB89" s="132">
        <f t="shared" si="233"/>
        <v>0.52041042857824404</v>
      </c>
      <c r="AC89" s="132">
        <f t="shared" si="233"/>
        <v>0.52202560310370749</v>
      </c>
      <c r="AD89" s="132">
        <f t="shared" si="233"/>
        <v>0.51965855106343584</v>
      </c>
      <c r="AE89" s="132">
        <f t="shared" si="233"/>
        <v>0.52027800446558969</v>
      </c>
      <c r="AF89" s="132">
        <f t="shared" si="233"/>
        <v>0.52166702761438055</v>
      </c>
      <c r="AG89" s="132">
        <f t="shared" si="233"/>
        <v>0.52155281525493791</v>
      </c>
      <c r="AH89" s="132">
        <f t="shared" si="233"/>
        <v>0.52290667121780965</v>
      </c>
      <c r="AI89" s="132">
        <f t="shared" si="233"/>
        <v>0.52076564947740112</v>
      </c>
      <c r="AJ89" s="132">
        <f t="shared" si="233"/>
        <v>0.52131125571569592</v>
      </c>
      <c r="AK89" s="132">
        <f t="shared" si="233"/>
        <v>0.52248108722334619</v>
      </c>
      <c r="AL89" s="132">
        <f t="shared" si="233"/>
        <v>0.52065786270227232</v>
      </c>
      <c r="AM89" s="132">
        <f t="shared" si="233"/>
        <v>0.52113816304558358</v>
      </c>
      <c r="AN89" s="132">
        <f t="shared" si="233"/>
        <v>0.52105452774270822</v>
      </c>
      <c r="AO89" s="132">
        <f t="shared" si="233"/>
        <v>0.52008401776537783</v>
      </c>
      <c r="AP89" s="132">
        <f t="shared" si="233"/>
        <v>0.52049340799085064</v>
      </c>
      <c r="AQ89" s="132">
        <f t="shared" si="233"/>
        <v>0.52141902406472584</v>
      </c>
      <c r="AR89" s="132">
        <f t="shared" si="233"/>
        <v>0.52183860480511057</v>
      </c>
      <c r="AS89" s="132">
        <f t="shared" si="233"/>
        <v>0.52173832472081638</v>
      </c>
      <c r="AT89" s="132">
        <f t="shared" si="233"/>
        <v>0.52081336203273532</v>
      </c>
      <c r="AU89" s="132">
        <f t="shared" si="233"/>
        <v>0.52119571699485456</v>
      </c>
      <c r="AV89" s="132">
        <f t="shared" si="233"/>
        <v>0.52201868223810344</v>
      </c>
      <c r="AW89" s="132">
        <f t="shared" si="233"/>
        <v>0.52072497181723021</v>
      </c>
      <c r="AX89" s="132">
        <f t="shared" si="233"/>
        <v>0.52107993194713953</v>
      </c>
      <c r="AY89" s="132">
        <f t="shared" si="233"/>
        <v>0.52140649872039047</v>
      </c>
      <c r="AZ89" s="132">
        <f t="shared" si="233"/>
        <v>0.52067426369645409</v>
      </c>
      <c r="BA89" s="132">
        <f t="shared" si="233"/>
        <v>0.52097434328970471</v>
      </c>
      <c r="BB89" s="132">
        <f t="shared" si="233"/>
        <v>0.52091556167588826</v>
      </c>
      <c r="BC89" s="132">
        <f t="shared" si="233"/>
        <v>0.52160154283077398</v>
      </c>
      <c r="BD89" s="132">
        <f t="shared" si="233"/>
        <v>0.52189311108021075</v>
      </c>
      <c r="BE89" s="132">
        <f t="shared" si="233"/>
        <v>0.52116986325071812</v>
      </c>
      <c r="BF89" s="132">
        <f t="shared" si="233"/>
        <v>0.52144263781908207</v>
      </c>
      <c r="BG89" s="132">
        <f t="shared" si="233"/>
        <v>0.52079584244382271</v>
      </c>
      <c r="BH89" s="132">
        <f t="shared" si="233"/>
        <v>0.52106722356833801</v>
      </c>
      <c r="BI89" s="132">
        <f t="shared" si="233"/>
        <v>0.52132139405782418</v>
      </c>
    </row>
    <row r="92" spans="1:61" outlineLevel="1" x14ac:dyDescent="0.25">
      <c r="A92" s="17" t="s">
        <v>409</v>
      </c>
      <c r="B92" s="232">
        <f>COUNTIF(B89:Y89,"&lt;=0")</f>
        <v>0</v>
      </c>
    </row>
  </sheetData>
  <dataConsolidate/>
  <mergeCells count="2">
    <mergeCell ref="A9:B9"/>
    <mergeCell ref="E8:H8"/>
  </mergeCells>
  <conditionalFormatting sqref="B89:BI8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2">
    <cfRule type="colorScale" priority="1">
      <colorScale>
        <cfvo type="min"/>
        <cfvo type="max"/>
        <color rgb="FF63BE7B"/>
        <color rgb="FFFFEF9C"/>
      </colorScale>
    </cfRule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75FF7-1467-174C-BC16-5ACCFF1121E0}">
  <sheetPr>
    <tabColor theme="6"/>
  </sheetPr>
  <dimension ref="A1:AZ78"/>
  <sheetViews>
    <sheetView showGridLines="0" topLeftCell="A19" zoomScale="150" zoomScaleNormal="90" workbookViewId="0">
      <selection activeCell="B29" sqref="B29"/>
    </sheetView>
  </sheetViews>
  <sheetFormatPr baseColWidth="10" defaultColWidth="9.1640625" defaultRowHeight="16" outlineLevelRow="2" x14ac:dyDescent="0.25"/>
  <cols>
    <col min="1" max="1" width="31.5" style="1" customWidth="1"/>
    <col min="2" max="4" width="10.33203125" style="1" customWidth="1"/>
    <col min="5" max="5" width="10.6640625" style="1" bestFit="1" customWidth="1"/>
    <col min="6" max="6" width="11.1640625" style="1" customWidth="1"/>
    <col min="7" max="7" width="10.6640625" style="1" bestFit="1" customWidth="1"/>
    <col min="8" max="8" width="10.83203125" style="1" customWidth="1"/>
    <col min="9" max="9" width="10.6640625" style="1" customWidth="1"/>
    <col min="10" max="14" width="10.6640625" style="1" bestFit="1" customWidth="1"/>
    <col min="15" max="15" width="11.5" style="1" bestFit="1" customWidth="1"/>
    <col min="16" max="27" width="10.1640625" style="1" bestFit="1" customWidth="1"/>
    <col min="28" max="47" width="11.5" style="1" bestFit="1" customWidth="1"/>
    <col min="48" max="16384" width="9.1640625" style="1"/>
  </cols>
  <sheetData>
    <row r="1" spans="1:14" s="4" customFormat="1" x14ac:dyDescent="0.25">
      <c r="A1" s="25" t="s">
        <v>646</v>
      </c>
    </row>
    <row r="2" spans="1:14" x14ac:dyDescent="0.25">
      <c r="A2" s="30" t="s">
        <v>463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4" s="151" customFormat="1" ht="35" customHeight="1" outlineLevel="1" x14ac:dyDescent="0.25">
      <c r="A3" s="189" t="s">
        <v>363</v>
      </c>
      <c r="B3" s="582" t="s">
        <v>351</v>
      </c>
      <c r="C3" s="582"/>
      <c r="D3" s="190" t="s">
        <v>356</v>
      </c>
      <c r="E3" s="190" t="s">
        <v>352</v>
      </c>
      <c r="F3" s="190" t="s">
        <v>353</v>
      </c>
      <c r="G3" s="583" t="s">
        <v>362</v>
      </c>
      <c r="H3" s="583"/>
      <c r="I3" s="582" t="s">
        <v>351</v>
      </c>
      <c r="J3" s="582"/>
      <c r="K3" s="190" t="s">
        <v>356</v>
      </c>
      <c r="L3" s="190" t="s">
        <v>352</v>
      </c>
      <c r="M3" s="190" t="s">
        <v>353</v>
      </c>
      <c r="N3" s="23"/>
    </row>
    <row r="4" spans="1:14" s="151" customFormat="1" outlineLevel="2" x14ac:dyDescent="0.25">
      <c r="A4" s="104" t="s">
        <v>182</v>
      </c>
      <c r="B4" s="585">
        <v>1</v>
      </c>
      <c r="C4" s="585"/>
      <c r="D4" s="184">
        <f>B16/10</f>
        <v>12</v>
      </c>
      <c r="E4" s="179">
        <f>'Payroll 2020'!E357*7</f>
        <v>280</v>
      </c>
      <c r="F4" s="183">
        <f>E4*D4*B4</f>
        <v>3360</v>
      </c>
      <c r="G4" s="153"/>
      <c r="H4" s="153"/>
      <c r="I4" s="586">
        <v>0</v>
      </c>
      <c r="J4" s="586"/>
      <c r="K4" s="186">
        <v>0</v>
      </c>
      <c r="L4" s="179">
        <f>E4</f>
        <v>280</v>
      </c>
      <c r="M4" s="183">
        <f>L4*K4*I4</f>
        <v>0</v>
      </c>
      <c r="N4" s="150"/>
    </row>
    <row r="5" spans="1:14" s="151" customFormat="1" outlineLevel="2" x14ac:dyDescent="0.25">
      <c r="A5" s="104" t="s">
        <v>183</v>
      </c>
      <c r="B5" s="585">
        <v>1</v>
      </c>
      <c r="C5" s="585"/>
      <c r="D5" s="177">
        <f>B16/2</f>
        <v>60</v>
      </c>
      <c r="E5" s="179">
        <f>'Payroll 2020'!E358*7</f>
        <v>196</v>
      </c>
      <c r="F5" s="183">
        <f t="shared" ref="F5:F11" si="0">E5*D5*B5</f>
        <v>11760</v>
      </c>
      <c r="G5" s="153"/>
      <c r="H5" s="153"/>
      <c r="I5" s="586">
        <v>1</v>
      </c>
      <c r="J5" s="586"/>
      <c r="K5" s="186">
        <f>B19/7</f>
        <v>8.5714285714285712</v>
      </c>
      <c r="L5" s="179">
        <f t="shared" ref="L5:L11" si="1">E5</f>
        <v>196</v>
      </c>
      <c r="M5" s="183">
        <f t="shared" ref="M5:M11" si="2">L5*K5*I5</f>
        <v>1680</v>
      </c>
    </row>
    <row r="6" spans="1:14" s="151" customFormat="1" ht="16" customHeight="1" outlineLevel="2" x14ac:dyDescent="0.25">
      <c r="A6" s="18" t="s">
        <v>184</v>
      </c>
      <c r="B6" s="587">
        <v>2</v>
      </c>
      <c r="C6" s="587"/>
      <c r="D6" s="184">
        <f>B16/7</f>
        <v>17.142857142857142</v>
      </c>
      <c r="E6" s="179">
        <f>'Payroll 2020'!E361*7</f>
        <v>126</v>
      </c>
      <c r="F6" s="183">
        <f t="shared" si="0"/>
        <v>4320</v>
      </c>
      <c r="I6" s="585">
        <v>1</v>
      </c>
      <c r="J6" s="585"/>
      <c r="K6" s="185">
        <f>B19/7</f>
        <v>8.5714285714285712</v>
      </c>
      <c r="L6" s="179">
        <f t="shared" si="1"/>
        <v>126</v>
      </c>
      <c r="M6" s="183">
        <f t="shared" si="2"/>
        <v>1080</v>
      </c>
    </row>
    <row r="7" spans="1:14" s="151" customFormat="1" ht="16" customHeight="1" outlineLevel="2" x14ac:dyDescent="0.25">
      <c r="A7" s="18" t="s">
        <v>185</v>
      </c>
      <c r="B7" s="584">
        <v>1</v>
      </c>
      <c r="C7" s="584"/>
      <c r="D7" s="184">
        <f>B16</f>
        <v>120</v>
      </c>
      <c r="E7" s="180">
        <f>'Payroll 2020'!E362*7</f>
        <v>161</v>
      </c>
      <c r="F7" s="183">
        <f t="shared" si="0"/>
        <v>19320</v>
      </c>
      <c r="G7" s="150"/>
      <c r="H7" s="150"/>
      <c r="I7" s="585">
        <v>1</v>
      </c>
      <c r="J7" s="585"/>
      <c r="K7" s="185">
        <f>B19</f>
        <v>60</v>
      </c>
      <c r="L7" s="179">
        <f t="shared" si="1"/>
        <v>161</v>
      </c>
      <c r="M7" s="183">
        <f t="shared" si="2"/>
        <v>9660</v>
      </c>
    </row>
    <row r="8" spans="1:14" s="151" customFormat="1" outlineLevel="2" x14ac:dyDescent="0.25">
      <c r="A8" s="18" t="s">
        <v>189</v>
      </c>
      <c r="B8" s="585">
        <v>1</v>
      </c>
      <c r="C8" s="585"/>
      <c r="D8" s="177">
        <f>B16/3</f>
        <v>40</v>
      </c>
      <c r="E8" s="179">
        <f>'Payroll 2020'!E365*7</f>
        <v>210</v>
      </c>
      <c r="F8" s="183">
        <f t="shared" si="0"/>
        <v>8400</v>
      </c>
      <c r="G8" s="153"/>
      <c r="H8" s="153"/>
      <c r="I8" s="586">
        <v>0</v>
      </c>
      <c r="J8" s="586"/>
      <c r="K8" s="186">
        <v>0</v>
      </c>
      <c r="L8" s="179">
        <f t="shared" si="1"/>
        <v>210</v>
      </c>
      <c r="M8" s="183">
        <f t="shared" si="2"/>
        <v>0</v>
      </c>
    </row>
    <row r="9" spans="1:14" s="151" customFormat="1" outlineLevel="2" x14ac:dyDescent="0.25">
      <c r="A9" s="18" t="s">
        <v>190</v>
      </c>
      <c r="B9" s="587">
        <v>1</v>
      </c>
      <c r="C9" s="587"/>
      <c r="D9" s="184">
        <f>B16</f>
        <v>120</v>
      </c>
      <c r="E9" s="179">
        <f>'Payroll 2020'!E366*7</f>
        <v>52.5</v>
      </c>
      <c r="F9" s="183">
        <f t="shared" si="0"/>
        <v>6300</v>
      </c>
      <c r="I9" s="585">
        <v>1</v>
      </c>
      <c r="J9" s="585"/>
      <c r="K9" s="185">
        <f>B19</f>
        <v>60</v>
      </c>
      <c r="L9" s="179">
        <f t="shared" si="1"/>
        <v>52.5</v>
      </c>
      <c r="M9" s="183">
        <f t="shared" si="2"/>
        <v>3150</v>
      </c>
    </row>
    <row r="10" spans="1:14" s="154" customFormat="1" ht="17" customHeight="1" outlineLevel="2" x14ac:dyDescent="0.25">
      <c r="A10" s="18" t="s">
        <v>191</v>
      </c>
      <c r="B10" s="585">
        <v>2</v>
      </c>
      <c r="C10" s="585"/>
      <c r="D10" s="185">
        <f>B16</f>
        <v>120</v>
      </c>
      <c r="E10" s="181">
        <f>'Payroll 2020'!E367*7</f>
        <v>70</v>
      </c>
      <c r="F10" s="183">
        <f t="shared" si="0"/>
        <v>16800</v>
      </c>
      <c r="I10" s="585">
        <v>1</v>
      </c>
      <c r="J10" s="585"/>
      <c r="K10" s="185">
        <f>B19</f>
        <v>60</v>
      </c>
      <c r="L10" s="179">
        <f t="shared" si="1"/>
        <v>70</v>
      </c>
      <c r="M10" s="183">
        <f t="shared" si="2"/>
        <v>4200</v>
      </c>
    </row>
    <row r="11" spans="1:14" s="151" customFormat="1" outlineLevel="2" x14ac:dyDescent="0.25">
      <c r="A11" s="18" t="s">
        <v>350</v>
      </c>
      <c r="B11" s="585">
        <v>3</v>
      </c>
      <c r="C11" s="585"/>
      <c r="D11" s="185">
        <f>B16</f>
        <v>120</v>
      </c>
      <c r="E11" s="182">
        <f>'Payroll 2020'!E377*7</f>
        <v>52.5</v>
      </c>
      <c r="F11" s="183">
        <f t="shared" si="0"/>
        <v>18900</v>
      </c>
      <c r="G11" s="175"/>
      <c r="H11" s="175"/>
      <c r="I11" s="585">
        <v>0</v>
      </c>
      <c r="J11" s="585"/>
      <c r="K11" s="185">
        <v>0</v>
      </c>
      <c r="L11" s="179">
        <f t="shared" si="1"/>
        <v>52.5</v>
      </c>
      <c r="M11" s="183">
        <f t="shared" si="2"/>
        <v>0</v>
      </c>
    </row>
    <row r="12" spans="1:14" s="151" customFormat="1" outlineLevel="2" x14ac:dyDescent="0.25">
      <c r="A12" s="18" t="s">
        <v>194</v>
      </c>
      <c r="B12" s="588">
        <v>1</v>
      </c>
      <c r="C12" s="588"/>
      <c r="D12" s="185">
        <v>0</v>
      </c>
      <c r="E12" s="179">
        <f>'Payroll 2020'!E371*7</f>
        <v>175</v>
      </c>
      <c r="F12" s="183">
        <f>E12*D12*B12</f>
        <v>0</v>
      </c>
      <c r="H12" s="156"/>
      <c r="I12" s="586">
        <v>0</v>
      </c>
      <c r="J12" s="586"/>
      <c r="K12" s="185">
        <v>0</v>
      </c>
      <c r="L12" s="179">
        <f>E12</f>
        <v>175</v>
      </c>
      <c r="M12" s="183">
        <f>L12*K12*I12</f>
        <v>0</v>
      </c>
    </row>
    <row r="13" spans="1:14" s="151" customFormat="1" outlineLevel="1" x14ac:dyDescent="0.25">
      <c r="A13" s="17" t="s">
        <v>361</v>
      </c>
      <c r="B13" s="589">
        <f>SUM(B4:C12)</f>
        <v>13</v>
      </c>
      <c r="C13" s="589"/>
      <c r="D13" s="187">
        <f>SUM(D4:D12)</f>
        <v>609.14285714285711</v>
      </c>
      <c r="E13" s="178"/>
      <c r="F13" s="188">
        <f>SUM(F4:F12)</f>
        <v>89160</v>
      </c>
      <c r="H13" s="156"/>
      <c r="I13" s="589">
        <f>SUM(I4:J12)</f>
        <v>5</v>
      </c>
      <c r="J13" s="589"/>
      <c r="K13" s="187">
        <f>SUM(K4:K12)</f>
        <v>197.14285714285714</v>
      </c>
      <c r="L13" s="178"/>
      <c r="M13" s="188">
        <f>SUM(M4:M12)</f>
        <v>19770</v>
      </c>
    </row>
    <row r="14" spans="1:14" s="151" customFormat="1" outlineLevel="1" x14ac:dyDescent="0.25">
      <c r="B14" s="155"/>
      <c r="E14" s="150"/>
      <c r="H14" s="156"/>
      <c r="I14" s="153"/>
      <c r="J14" s="153"/>
    </row>
    <row r="15" spans="1:14" s="151" customFormat="1" outlineLevel="1" x14ac:dyDescent="0.25">
      <c r="A15" s="150" t="s">
        <v>354</v>
      </c>
      <c r="B15" s="176">
        <v>44287</v>
      </c>
      <c r="E15" s="150"/>
      <c r="F15" s="150" t="s">
        <v>55</v>
      </c>
      <c r="H15" s="156"/>
      <c r="I15" s="153"/>
      <c r="J15" s="153"/>
    </row>
    <row r="16" spans="1:14" s="151" customFormat="1" outlineLevel="1" x14ac:dyDescent="0.25">
      <c r="A16" s="151" t="s">
        <v>356</v>
      </c>
      <c r="B16" s="173">
        <v>120</v>
      </c>
      <c r="C16" s="151">
        <f>ROUND(B16/31,0)</f>
        <v>4</v>
      </c>
      <c r="D16" s="151" t="s">
        <v>236</v>
      </c>
      <c r="F16" s="151" t="s">
        <v>366</v>
      </c>
      <c r="I16" s="183">
        <v>1000</v>
      </c>
      <c r="J16" s="151" t="s">
        <v>257</v>
      </c>
    </row>
    <row r="17" spans="1:14" s="151" customFormat="1" outlineLevel="1" x14ac:dyDescent="0.25">
      <c r="A17" s="151" t="s">
        <v>355</v>
      </c>
      <c r="B17" s="176">
        <f>B15+B16</f>
        <v>44407</v>
      </c>
      <c r="E17" s="150"/>
      <c r="F17" s="151" t="s">
        <v>256</v>
      </c>
      <c r="H17" s="156"/>
      <c r="I17" s="192">
        <v>1.4999999999999999E-2</v>
      </c>
      <c r="J17" s="151" t="s">
        <v>257</v>
      </c>
    </row>
    <row r="18" spans="1:14" s="151" customFormat="1" outlineLevel="1" x14ac:dyDescent="0.25">
      <c r="A18" s="150" t="s">
        <v>357</v>
      </c>
      <c r="B18" s="176">
        <f>B17+1</f>
        <v>44408</v>
      </c>
      <c r="F18" s="151" t="s">
        <v>365</v>
      </c>
      <c r="I18" s="193">
        <v>0.02</v>
      </c>
      <c r="J18" s="151" t="s">
        <v>257</v>
      </c>
    </row>
    <row r="19" spans="1:14" s="151" customFormat="1" outlineLevel="1" x14ac:dyDescent="0.25">
      <c r="A19" s="151" t="s">
        <v>356</v>
      </c>
      <c r="B19" s="173">
        <v>60</v>
      </c>
      <c r="C19" s="151">
        <f>ROUND(B19/31,0)</f>
        <v>2</v>
      </c>
      <c r="D19" s="151" t="s">
        <v>236</v>
      </c>
      <c r="F19" s="150" t="s">
        <v>469</v>
      </c>
      <c r="I19" s="176">
        <f>B20+1</f>
        <v>44469</v>
      </c>
    </row>
    <row r="20" spans="1:14" s="151" customFormat="1" outlineLevel="1" x14ac:dyDescent="0.25">
      <c r="A20" s="151" t="s">
        <v>358</v>
      </c>
      <c r="B20" s="176">
        <f>B18+B19</f>
        <v>44468</v>
      </c>
      <c r="F20" s="151" t="s">
        <v>468</v>
      </c>
      <c r="I20" s="183">
        <v>10000</v>
      </c>
      <c r="J20" s="151" t="s">
        <v>257</v>
      </c>
    </row>
    <row r="21" spans="1:14" s="151" customFormat="1" ht="17" customHeight="1" x14ac:dyDescent="0.25">
      <c r="A21" s="150"/>
      <c r="B21" s="150"/>
      <c r="C21" s="150"/>
      <c r="D21" s="150"/>
      <c r="E21" s="581"/>
      <c r="F21" s="581"/>
      <c r="G21" s="150"/>
      <c r="H21" s="150"/>
      <c r="I21" s="150"/>
      <c r="J21" s="150"/>
      <c r="K21" s="150"/>
      <c r="L21" s="150"/>
      <c r="M21" s="150"/>
      <c r="N21" s="150"/>
    </row>
    <row r="22" spans="1:14" x14ac:dyDescent="0.25">
      <c r="A22" s="30" t="s">
        <v>377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</row>
    <row r="23" spans="1:14" s="151" customFormat="1" outlineLevel="1" x14ac:dyDescent="0.25">
      <c r="A23" s="151" t="s">
        <v>380</v>
      </c>
      <c r="B23" s="192">
        <v>1.0999999999999999E-2</v>
      </c>
      <c r="F23" s="150" t="s">
        <v>381</v>
      </c>
    </row>
    <row r="24" spans="1:14" s="151" customFormat="1" outlineLevel="1" x14ac:dyDescent="0.25">
      <c r="A24" s="151" t="s">
        <v>668</v>
      </c>
      <c r="B24" s="192">
        <v>0.2</v>
      </c>
      <c r="F24" s="151" t="s">
        <v>382</v>
      </c>
      <c r="I24" s="183">
        <v>30</v>
      </c>
      <c r="J24" s="151" t="s">
        <v>257</v>
      </c>
    </row>
    <row r="25" spans="1:14" s="151" customFormat="1" outlineLevel="1" x14ac:dyDescent="0.25">
      <c r="A25" s="151" t="s">
        <v>669</v>
      </c>
      <c r="B25" s="192">
        <v>0.15</v>
      </c>
      <c r="F25" s="151" t="s">
        <v>383</v>
      </c>
      <c r="I25" s="183">
        <v>400</v>
      </c>
      <c r="J25" s="151" t="s">
        <v>257</v>
      </c>
    </row>
    <row r="26" spans="1:14" s="151" customFormat="1" outlineLevel="1" x14ac:dyDescent="0.25">
      <c r="A26" s="151" t="s">
        <v>670</v>
      </c>
      <c r="B26" s="192">
        <v>0.1</v>
      </c>
      <c r="F26" s="151" t="s">
        <v>384</v>
      </c>
      <c r="I26" s="183">
        <v>2000</v>
      </c>
      <c r="J26" s="151" t="s">
        <v>257</v>
      </c>
    </row>
    <row r="27" spans="1:14" s="151" customFormat="1" outlineLevel="1" x14ac:dyDescent="0.25">
      <c r="A27" s="151" t="s">
        <v>671</v>
      </c>
      <c r="B27" s="192">
        <v>0.08</v>
      </c>
      <c r="F27" s="151" t="s">
        <v>403</v>
      </c>
      <c r="I27" s="183">
        <v>15000</v>
      </c>
      <c r="J27" s="151" t="s">
        <v>257</v>
      </c>
    </row>
    <row r="28" spans="1:14" s="151" customFormat="1" outlineLevel="1" x14ac:dyDescent="0.25">
      <c r="A28" s="151" t="s">
        <v>672</v>
      </c>
      <c r="B28" s="192">
        <v>7.0000000000000007E-2</v>
      </c>
    </row>
    <row r="29" spans="1:14" s="151" customFormat="1" outlineLevel="1" x14ac:dyDescent="0.25">
      <c r="F29" s="150" t="s">
        <v>385</v>
      </c>
    </row>
    <row r="30" spans="1:14" s="151" customFormat="1" outlineLevel="1" x14ac:dyDescent="0.25">
      <c r="A30" s="151" t="s">
        <v>399</v>
      </c>
      <c r="B30" s="193">
        <v>0.02</v>
      </c>
      <c r="F30" s="151" t="s">
        <v>382</v>
      </c>
      <c r="I30" s="153">
        <v>0.5</v>
      </c>
    </row>
    <row r="31" spans="1:14" s="151" customFormat="1" outlineLevel="1" x14ac:dyDescent="0.25">
      <c r="F31" s="151" t="s">
        <v>383</v>
      </c>
      <c r="I31" s="153">
        <v>0.4</v>
      </c>
    </row>
    <row r="32" spans="1:14" s="151" customFormat="1" outlineLevel="1" x14ac:dyDescent="0.25">
      <c r="F32" s="151" t="s">
        <v>384</v>
      </c>
      <c r="I32" s="153">
        <v>0.09</v>
      </c>
    </row>
    <row r="33" spans="1:52" s="151" customFormat="1" x14ac:dyDescent="0.25">
      <c r="A33" s="150"/>
      <c r="E33" s="150"/>
      <c r="F33" s="151" t="s">
        <v>403</v>
      </c>
      <c r="I33" s="153">
        <v>0.01</v>
      </c>
    </row>
    <row r="34" spans="1:52" s="151" customFormat="1" x14ac:dyDescent="0.25">
      <c r="A34" s="150"/>
      <c r="E34" s="150"/>
      <c r="H34" s="156"/>
      <c r="I34" s="153"/>
      <c r="J34" s="153"/>
    </row>
    <row r="35" spans="1:52" s="151" customFormat="1" x14ac:dyDescent="0.25">
      <c r="A35" s="27" t="s">
        <v>405</v>
      </c>
      <c r="B35" s="76">
        <f>B15</f>
        <v>44287</v>
      </c>
      <c r="C35" s="76">
        <f>B35+31</f>
        <v>44318</v>
      </c>
      <c r="D35" s="76">
        <f t="shared" ref="D35:M35" si="3">C35+31</f>
        <v>44349</v>
      </c>
      <c r="E35" s="76">
        <f t="shared" si="3"/>
        <v>44380</v>
      </c>
      <c r="F35" s="76">
        <f t="shared" si="3"/>
        <v>44411</v>
      </c>
      <c r="G35" s="76">
        <f t="shared" si="3"/>
        <v>44442</v>
      </c>
      <c r="H35" s="76">
        <f t="shared" si="3"/>
        <v>44473</v>
      </c>
      <c r="I35" s="76">
        <f t="shared" si="3"/>
        <v>44504</v>
      </c>
      <c r="J35" s="76">
        <f t="shared" si="3"/>
        <v>44535</v>
      </c>
      <c r="K35" s="76">
        <f t="shared" si="3"/>
        <v>44566</v>
      </c>
      <c r="L35" s="76">
        <f t="shared" si="3"/>
        <v>44597</v>
      </c>
      <c r="M35" s="76">
        <f t="shared" si="3"/>
        <v>44628</v>
      </c>
      <c r="N35" s="76">
        <f t="shared" ref="N35:AU35" si="4">M35+31</f>
        <v>44659</v>
      </c>
      <c r="O35" s="76">
        <f t="shared" si="4"/>
        <v>44690</v>
      </c>
      <c r="P35" s="76">
        <f t="shared" si="4"/>
        <v>44721</v>
      </c>
      <c r="Q35" s="76">
        <f t="shared" si="4"/>
        <v>44752</v>
      </c>
      <c r="R35" s="76">
        <f t="shared" si="4"/>
        <v>44783</v>
      </c>
      <c r="S35" s="76">
        <f t="shared" si="4"/>
        <v>44814</v>
      </c>
      <c r="T35" s="76">
        <f t="shared" si="4"/>
        <v>44845</v>
      </c>
      <c r="U35" s="76">
        <f t="shared" si="4"/>
        <v>44876</v>
      </c>
      <c r="V35" s="76">
        <f t="shared" si="4"/>
        <v>44907</v>
      </c>
      <c r="W35" s="76">
        <f t="shared" si="4"/>
        <v>44938</v>
      </c>
      <c r="X35" s="76">
        <f t="shared" si="4"/>
        <v>44969</v>
      </c>
      <c r="Y35" s="76">
        <f t="shared" si="4"/>
        <v>45000</v>
      </c>
      <c r="Z35" s="76">
        <f t="shared" si="4"/>
        <v>45031</v>
      </c>
      <c r="AA35" s="76">
        <f t="shared" si="4"/>
        <v>45062</v>
      </c>
      <c r="AB35" s="76">
        <f t="shared" si="4"/>
        <v>45093</v>
      </c>
      <c r="AC35" s="76">
        <f t="shared" si="4"/>
        <v>45124</v>
      </c>
      <c r="AD35" s="76">
        <f t="shared" si="4"/>
        <v>45155</v>
      </c>
      <c r="AE35" s="76">
        <f t="shared" si="4"/>
        <v>45186</v>
      </c>
      <c r="AF35" s="76">
        <f t="shared" si="4"/>
        <v>45217</v>
      </c>
      <c r="AG35" s="76">
        <f t="shared" si="4"/>
        <v>45248</v>
      </c>
      <c r="AH35" s="76">
        <f t="shared" si="4"/>
        <v>45279</v>
      </c>
      <c r="AI35" s="76">
        <f t="shared" si="4"/>
        <v>45310</v>
      </c>
      <c r="AJ35" s="76">
        <f t="shared" si="4"/>
        <v>45341</v>
      </c>
      <c r="AK35" s="76">
        <f t="shared" si="4"/>
        <v>45372</v>
      </c>
      <c r="AL35" s="76">
        <f t="shared" si="4"/>
        <v>45403</v>
      </c>
      <c r="AM35" s="76">
        <f t="shared" si="4"/>
        <v>45434</v>
      </c>
      <c r="AN35" s="76">
        <f t="shared" si="4"/>
        <v>45465</v>
      </c>
      <c r="AO35" s="76">
        <f t="shared" si="4"/>
        <v>45496</v>
      </c>
      <c r="AP35" s="76">
        <f t="shared" si="4"/>
        <v>45527</v>
      </c>
      <c r="AQ35" s="76">
        <f t="shared" si="4"/>
        <v>45558</v>
      </c>
      <c r="AR35" s="76">
        <f t="shared" si="4"/>
        <v>45589</v>
      </c>
      <c r="AS35" s="76">
        <f t="shared" si="4"/>
        <v>45620</v>
      </c>
      <c r="AT35" s="76">
        <f t="shared" si="4"/>
        <v>45651</v>
      </c>
      <c r="AU35" s="76">
        <f t="shared" si="4"/>
        <v>45682</v>
      </c>
      <c r="AV35" s="76"/>
      <c r="AW35" s="76"/>
      <c r="AX35" s="76"/>
      <c r="AY35" s="76"/>
      <c r="AZ35" s="76"/>
    </row>
    <row r="36" spans="1:52" s="151" customFormat="1" outlineLevel="1" x14ac:dyDescent="0.25">
      <c r="A36" s="151" t="s">
        <v>387</v>
      </c>
      <c r="B36" s="168" t="str">
        <f>IF(SUM(B57:B58)&gt;0,"",HLOOKUP(B35,'WEBSITES AUDIENCE'!$B$91:$BI$92,2))</f>
        <v/>
      </c>
      <c r="C36" s="168" t="str">
        <f>IF(SUM(C57:C58)&gt;0,"",HLOOKUP(C35,'WEBSITES AUDIENCE'!$B$91:$BI$92,2))</f>
        <v/>
      </c>
      <c r="D36" s="168" t="str">
        <f>IF(SUM(D57:D58)&gt;0,"",HLOOKUP(D35,'WEBSITES AUDIENCE'!$B$91:$BI$92,2))</f>
        <v/>
      </c>
      <c r="E36" s="168" t="str">
        <f>IF(SUM(E57:E58)&gt;0,"",HLOOKUP(E35,'WEBSITES AUDIENCE'!$B$91:$BI$92,2))</f>
        <v/>
      </c>
      <c r="F36" s="168" t="str">
        <f>IF(SUM(F57:F58)&gt;0,"",HLOOKUP(F35,'WEBSITES AUDIENCE'!$B$91:$BI$92,2))</f>
        <v/>
      </c>
      <c r="G36" s="168" t="str">
        <f>IF(SUM(G57:G58)&gt;0,"",HLOOKUP(G35,'WEBSITES AUDIENCE'!$B$91:$BI$92,2))</f>
        <v/>
      </c>
      <c r="H36" s="168">
        <f>IF(SUM(H57:H58)&gt;0,"",HLOOKUP(H35,'WEBSITES AUDIENCE'!$B$91:$BI$92,2))</f>
        <v>13558.604789123925</v>
      </c>
      <c r="I36" s="168">
        <f>IF(SUM(I57:I58)&gt;0,"",HLOOKUP(I35,'WEBSITES AUDIENCE'!$B$91:$BI$92,2))</f>
        <v>14877.311729708752</v>
      </c>
      <c r="J36" s="168">
        <f>IF(SUM(J57:J58)&gt;0,"",HLOOKUP(J35,'WEBSITES AUDIENCE'!$B$91:$BI$92,2))</f>
        <v>16204.878425531648</v>
      </c>
      <c r="K36" s="168">
        <f>IF(SUM(K57:K58)&gt;0,"",HLOOKUP(K35,'WEBSITES AUDIENCE'!$B$91:$BI$92,2))</f>
        <v>18777.067120453557</v>
      </c>
      <c r="L36" s="168">
        <f>IF(SUM(L57:L58)&gt;0,"",HLOOKUP(L35,'WEBSITES AUDIENCE'!$B$91:$BI$92,2))</f>
        <v>21365.136787645406</v>
      </c>
      <c r="M36" s="168">
        <f>IF(SUM(M57:M58)&gt;0,"",HLOOKUP(M35,'WEBSITES AUDIENCE'!$B$91:$BI$92,2))</f>
        <v>23969.625759235085</v>
      </c>
      <c r="N36" s="168">
        <f>IF(SUM(N57:N58)&gt;0,"",HLOOKUP(N35,'WEBSITES AUDIENCE'!$B$91:$BI$92,2))</f>
        <v>26591.153117169699</v>
      </c>
      <c r="O36" s="168">
        <f>IF(SUM(O57:O58)&gt;0,"",HLOOKUP(O35,'WEBSITES AUDIENCE'!$B$91:$BI$92,2))</f>
        <v>29230.430805688389</v>
      </c>
      <c r="P36" s="168">
        <f>IF(SUM(P57:P58)&gt;0,"",HLOOKUP(P35,'WEBSITES AUDIENCE'!$B$91:$BI$92,2))</f>
        <v>31888.277560666193</v>
      </c>
      <c r="Q36" s="168">
        <f>IF(SUM(Q57:Q58)&gt;0,"",HLOOKUP(Q35,'WEBSITES AUDIENCE'!$B$91:$BI$92,2))</f>
        <v>34565.634928359395</v>
      </c>
      <c r="R36" s="168">
        <f>IF(SUM(R57:R58)&gt;0,"",HLOOKUP(R35,'WEBSITES AUDIENCE'!$B$91:$BI$92,2))</f>
        <v>37263.58568696271</v>
      </c>
      <c r="S36" s="168">
        <f>IF(SUM(S57:S58)&gt;0,"",HLOOKUP(S35,'WEBSITES AUDIENCE'!$B$91:$BI$92,2))</f>
        <v>39983.375031400072</v>
      </c>
      <c r="T36" s="168">
        <f>IF(SUM(T57:T58)&gt;0,"",HLOOKUP(T35,'WEBSITES AUDIENCE'!$B$91:$BI$92,2))</f>
        <v>42726.434935834004</v>
      </c>
      <c r="U36" s="168">
        <f>IF(SUM(U57:U58)&gt;0,"",HLOOKUP(U35,'WEBSITES AUDIENCE'!$B$91:$BI$92,2))</f>
        <v>45494.412170551419</v>
      </c>
      <c r="V36" s="168">
        <f>IF(SUM(V57:V58)&gt;0,"",HLOOKUP(V35,'WEBSITES AUDIENCE'!$B$91:$BI$92,2))</f>
        <v>48289.200521382256</v>
      </c>
      <c r="W36" s="168">
        <f>IF(SUM(W57:W58)&gt;0,"",HLOOKUP(W35,'WEBSITES AUDIENCE'!$B$91:$BI$92,2))</f>
        <v>52348.333029462468</v>
      </c>
      <c r="X36" s="168">
        <f>IF(SUM(X57:X58)&gt;0,"",HLOOKUP(X35,'WEBSITES AUDIENCE'!$B$91:$BI$92,2))</f>
        <v>56445.105084829214</v>
      </c>
      <c r="Y36" s="168">
        <f>IF(SUM(Y57:Y58)&gt;0,"",HLOOKUP(Y35,'WEBSITES AUDIENCE'!$B$91:$BI$92,2))</f>
        <v>60582.396899006628</v>
      </c>
      <c r="Z36" s="168">
        <f>IF(SUM(Z57:Z58)&gt;0,"",HLOOKUP(Z35,'WEBSITES AUDIENCE'!$B$91:$BI$92,2))</f>
        <v>64763.520715247418</v>
      </c>
      <c r="AA36" s="168">
        <f>IF(SUM(AA57:AA58)&gt;0,"",HLOOKUP(AA35,'WEBSITES AUDIENCE'!$B$91:$BI$92,2))</f>
        <v>68992.285613292217</v>
      </c>
      <c r="AB36" s="168">
        <f>IF(SUM(AB57:AB58)&gt;0,"",HLOOKUP(AB35,'WEBSITES AUDIENCE'!$B$91:$BI$92,2))</f>
        <v>73273.072034842698</v>
      </c>
      <c r="AC36" s="168">
        <f>IF(SUM(AC57:AC58)&gt;0,"",HLOOKUP(AC35,'WEBSITES AUDIENCE'!$B$91:$BI$92,2))</f>
        <v>77610.917487855957</v>
      </c>
      <c r="AD36" s="168">
        <f>IF(SUM(AD57:AD58)&gt;0,"",HLOOKUP(AD35,'WEBSITES AUDIENCE'!$B$91:$BI$92,2))</f>
        <v>82011.615106482437</v>
      </c>
      <c r="AE36" s="168">
        <f>IF(SUM(AE57:AE58)&gt;0,"",HLOOKUP(AE35,'WEBSITES AUDIENCE'!$B$91:$BI$92,2))</f>
        <v>86481.826994995252</v>
      </c>
      <c r="AF36" s="168">
        <f>IF(SUM(AF57:AF58)&gt;0,"",HLOOKUP(AF35,'WEBSITES AUDIENCE'!$B$91:$BI$92,2))</f>
        <v>91029.214573308505</v>
      </c>
      <c r="AG36" s="168">
        <f>IF(SUM(AG57:AG58)&gt;0,"",HLOOKUP(AG35,'WEBSITES AUDIENCE'!$B$91:$BI$92,2))</f>
        <v>95662.588474323376</v>
      </c>
      <c r="AH36" s="168">
        <f>IF(SUM(AH57:AH58)&gt;0,"",HLOOKUP(AH35,'WEBSITES AUDIENCE'!$B$91:$BI$92,2))</f>
        <v>100392.08092587622</v>
      </c>
      <c r="AI36" s="168">
        <f>IF(SUM(AI57:AI58)&gt;0,"",HLOOKUP(AI35,'WEBSITES AUDIENCE'!$B$91:$BI$92,2))</f>
        <v>105970.5571024378</v>
      </c>
      <c r="AJ36" s="168">
        <f>IF(SUM(AJ57:AJ58)&gt;0,"",HLOOKUP(AJ35,'WEBSITES AUDIENCE'!$B$91:$BI$92,2))</f>
        <v>111673.89139028794</v>
      </c>
      <c r="AK36" s="168">
        <f>IF(SUM(AK57:AK58)&gt;0,"",HLOOKUP(AK35,'WEBSITES AUDIENCE'!$B$91:$BI$92,2))</f>
        <v>117517.49364143726</v>
      </c>
      <c r="AL36" s="168">
        <f>IF(SUM(AL57:AL58)&gt;0,"",HLOOKUP(AL35,'WEBSITES AUDIENCE'!$B$91:$BI$92,2))</f>
        <v>123519.30943009179</v>
      </c>
      <c r="AM36" s="168">
        <f>IF(SUM(AM57:AM58)&gt;0,"",HLOOKUP(AM35,'WEBSITES AUDIENCE'!$B$91:$BI$92,2))</f>
        <v>129699.52879344461</v>
      </c>
      <c r="AN36" s="168">
        <f>IF(SUM(AN57:AN58)&gt;0,"",HLOOKUP(AN35,'WEBSITES AUDIENCE'!$B$91:$BI$92,2))</f>
        <v>136081.59340301779</v>
      </c>
      <c r="AO36" s="168">
        <f>IF(SUM(AO57:AO58)&gt;0,"",HLOOKUP(AO35,'WEBSITES AUDIENCE'!$B$91:$BI$92,2))</f>
        <v>142692.46118106181</v>
      </c>
      <c r="AP36" s="168">
        <f>IF(SUM(AP57:AP58)&gt;0,"",HLOOKUP(AP35,'WEBSITES AUDIENCE'!$B$91:$BI$92,2))</f>
        <v>149563.13373816459</v>
      </c>
      <c r="AQ36" s="168">
        <f>IF(SUM(AQ57:AQ58)&gt;0,"",HLOOKUP(AQ35,'WEBSITES AUDIENCE'!$B$91:$BI$92,2))</f>
        <v>156729.2629265023</v>
      </c>
      <c r="AR36" s="168">
        <f>IF(SUM(AR57:AR58)&gt;0,"",HLOOKUP(AR35,'WEBSITES AUDIENCE'!$B$91:$BI$92,2))</f>
        <v>164231.84837607751</v>
      </c>
      <c r="AS36" s="168">
        <f>IF(SUM(AS57:AS58)&gt;0,"",HLOOKUP(AS35,'WEBSITES AUDIENCE'!$B$91:$BI$92,2))</f>
        <v>172118.03966139324</v>
      </c>
      <c r="AT36" s="168">
        <f>IF(SUM(AT57:AT58)&gt;0,"",HLOOKUP(AT35,'WEBSITES AUDIENCE'!$B$91:$BI$92,2))</f>
        <v>180442.05879312783</v>
      </c>
      <c r="AU36" s="168">
        <f>IF(SUM(AU57:AU58)&gt;0,"",HLOOKUP(AU35,'WEBSITES AUDIENCE'!$B$91:$BI$92,2))</f>
        <v>180442.05879312783</v>
      </c>
      <c r="AV36" s="168"/>
      <c r="AW36" s="168"/>
      <c r="AX36" s="168"/>
      <c r="AY36" s="168"/>
      <c r="AZ36" s="168"/>
    </row>
    <row r="37" spans="1:52" s="151" customFormat="1" outlineLevel="1" x14ac:dyDescent="0.25">
      <c r="A37" s="151" t="s">
        <v>224</v>
      </c>
      <c r="B37" s="645">
        <f>$B$24/12</f>
        <v>1.6666666666666666E-2</v>
      </c>
      <c r="C37" s="645">
        <f t="shared" ref="C37:M37" si="5">$B$24/12</f>
        <v>1.6666666666666666E-2</v>
      </c>
      <c r="D37" s="645">
        <f t="shared" si="5"/>
        <v>1.6666666666666666E-2</v>
      </c>
      <c r="E37" s="645">
        <f t="shared" si="5"/>
        <v>1.6666666666666666E-2</v>
      </c>
      <c r="F37" s="645">
        <f t="shared" si="5"/>
        <v>1.6666666666666666E-2</v>
      </c>
      <c r="G37" s="645">
        <f t="shared" si="5"/>
        <v>1.6666666666666666E-2</v>
      </c>
      <c r="H37" s="645">
        <f t="shared" si="5"/>
        <v>1.6666666666666666E-2</v>
      </c>
      <c r="I37" s="645">
        <f t="shared" si="5"/>
        <v>1.6666666666666666E-2</v>
      </c>
      <c r="J37" s="645">
        <f t="shared" si="5"/>
        <v>1.6666666666666666E-2</v>
      </c>
      <c r="K37" s="645">
        <f t="shared" si="5"/>
        <v>1.6666666666666666E-2</v>
      </c>
      <c r="L37" s="645">
        <f t="shared" si="5"/>
        <v>1.6666666666666666E-2</v>
      </c>
      <c r="M37" s="645">
        <f t="shared" si="5"/>
        <v>1.6666666666666666E-2</v>
      </c>
      <c r="N37" s="645">
        <f>$B$25/12</f>
        <v>1.2499999999999999E-2</v>
      </c>
      <c r="O37" s="645">
        <f t="shared" ref="O37:Y37" si="6">$B$25/12</f>
        <v>1.2499999999999999E-2</v>
      </c>
      <c r="P37" s="645">
        <f t="shared" si="6"/>
        <v>1.2499999999999999E-2</v>
      </c>
      <c r="Q37" s="645">
        <f t="shared" si="6"/>
        <v>1.2499999999999999E-2</v>
      </c>
      <c r="R37" s="645">
        <f t="shared" si="6"/>
        <v>1.2499999999999999E-2</v>
      </c>
      <c r="S37" s="645">
        <f t="shared" si="6"/>
        <v>1.2499999999999999E-2</v>
      </c>
      <c r="T37" s="645">
        <f t="shared" si="6"/>
        <v>1.2499999999999999E-2</v>
      </c>
      <c r="U37" s="645">
        <f t="shared" si="6"/>
        <v>1.2499999999999999E-2</v>
      </c>
      <c r="V37" s="645">
        <f t="shared" si="6"/>
        <v>1.2499999999999999E-2</v>
      </c>
      <c r="W37" s="645">
        <f t="shared" si="6"/>
        <v>1.2499999999999999E-2</v>
      </c>
      <c r="X37" s="645">
        <f t="shared" si="6"/>
        <v>1.2499999999999999E-2</v>
      </c>
      <c r="Y37" s="645">
        <f t="shared" si="6"/>
        <v>1.2499999999999999E-2</v>
      </c>
      <c r="Z37" s="645">
        <f>$B$26/12</f>
        <v>8.3333333333333332E-3</v>
      </c>
      <c r="AA37" s="645">
        <f t="shared" ref="AA37:AK37" si="7">$B$26/12</f>
        <v>8.3333333333333332E-3</v>
      </c>
      <c r="AB37" s="645">
        <f t="shared" si="7"/>
        <v>8.3333333333333332E-3</v>
      </c>
      <c r="AC37" s="645">
        <f t="shared" si="7"/>
        <v>8.3333333333333332E-3</v>
      </c>
      <c r="AD37" s="645">
        <f t="shared" si="7"/>
        <v>8.3333333333333332E-3</v>
      </c>
      <c r="AE37" s="645">
        <f t="shared" si="7"/>
        <v>8.3333333333333332E-3</v>
      </c>
      <c r="AF37" s="645">
        <f t="shared" si="7"/>
        <v>8.3333333333333332E-3</v>
      </c>
      <c r="AG37" s="645">
        <f t="shared" si="7"/>
        <v>8.3333333333333332E-3</v>
      </c>
      <c r="AH37" s="645">
        <f t="shared" si="7"/>
        <v>8.3333333333333332E-3</v>
      </c>
      <c r="AI37" s="645">
        <f t="shared" si="7"/>
        <v>8.3333333333333332E-3</v>
      </c>
      <c r="AJ37" s="645">
        <f t="shared" si="7"/>
        <v>8.3333333333333332E-3</v>
      </c>
      <c r="AK37" s="645">
        <f t="shared" si="7"/>
        <v>8.3333333333333332E-3</v>
      </c>
      <c r="AL37" s="645">
        <f>$B$27/12</f>
        <v>6.6666666666666671E-3</v>
      </c>
      <c r="AM37" s="645">
        <f t="shared" ref="AM37:AU37" si="8">$B$27/12</f>
        <v>6.6666666666666671E-3</v>
      </c>
      <c r="AN37" s="645">
        <f t="shared" si="8"/>
        <v>6.6666666666666671E-3</v>
      </c>
      <c r="AO37" s="645">
        <f t="shared" si="8"/>
        <v>6.6666666666666671E-3</v>
      </c>
      <c r="AP37" s="645">
        <f t="shared" si="8"/>
        <v>6.6666666666666671E-3</v>
      </c>
      <c r="AQ37" s="645">
        <f t="shared" si="8"/>
        <v>6.6666666666666671E-3</v>
      </c>
      <c r="AR37" s="645">
        <f t="shared" si="8"/>
        <v>6.6666666666666671E-3</v>
      </c>
      <c r="AS37" s="645">
        <f t="shared" si="8"/>
        <v>6.6666666666666671E-3</v>
      </c>
      <c r="AT37" s="645">
        <f t="shared" si="8"/>
        <v>6.6666666666666671E-3</v>
      </c>
      <c r="AU37" s="645">
        <f t="shared" si="8"/>
        <v>6.6666666666666671E-3</v>
      </c>
      <c r="AV37" s="168"/>
      <c r="AW37" s="168"/>
      <c r="AX37" s="168"/>
      <c r="AY37" s="168"/>
      <c r="AZ37" s="168"/>
    </row>
    <row r="38" spans="1:52" s="151" customFormat="1" outlineLevel="1" x14ac:dyDescent="0.25">
      <c r="A38" s="226" t="s">
        <v>404</v>
      </c>
      <c r="B38" s="152">
        <f>IFERROR(B36*$B$23,0)</f>
        <v>0</v>
      </c>
      <c r="C38" s="152">
        <f>IFERROR(C36*$B$23,0)</f>
        <v>0</v>
      </c>
      <c r="D38" s="152">
        <f>IFERROR(D36*$B$23,0)</f>
        <v>0</v>
      </c>
      <c r="E38" s="152">
        <f>IFERROR(E36*$B$23,0)</f>
        <v>0</v>
      </c>
      <c r="F38" s="152">
        <f>IFERROR(F36*$B$23,0)</f>
        <v>0</v>
      </c>
      <c r="G38" s="152">
        <f>IFERROR(G36*$B$23,0)</f>
        <v>0</v>
      </c>
      <c r="H38" s="152">
        <f>IFERROR(H36*$B$23,0)</f>
        <v>149.14465268036318</v>
      </c>
      <c r="I38" s="152">
        <f>IFERROR(I36*$B$23,0)</f>
        <v>163.65042902679627</v>
      </c>
      <c r="J38" s="152">
        <f>IFERROR(J36*$B$23,0)</f>
        <v>178.25366268084812</v>
      </c>
      <c r="K38" s="152">
        <f>IFERROR(K36*$B$23,0)</f>
        <v>206.54773832498913</v>
      </c>
      <c r="L38" s="152">
        <f>IFERROR(L36*$B$23,0)</f>
        <v>235.01650466409944</v>
      </c>
      <c r="M38" s="152">
        <f>IFERROR(M36*$B$23,0)</f>
        <v>263.66588335158593</v>
      </c>
      <c r="N38" s="152">
        <f>IFERROR(N36*$B$23,0)</f>
        <v>292.50268428886665</v>
      </c>
      <c r="O38" s="152">
        <f>IFERROR(O36*$B$23,0)</f>
        <v>321.53473886257228</v>
      </c>
      <c r="P38" s="152">
        <f>IFERROR(P36*$B$23,0)</f>
        <v>350.77105316732809</v>
      </c>
      <c r="Q38" s="152">
        <f>IFERROR(Q36*$B$23,0)</f>
        <v>380.22198421195333</v>
      </c>
      <c r="R38" s="152">
        <f>IFERROR(R36*$B$23,0)</f>
        <v>409.8994425565898</v>
      </c>
      <c r="S38" s="152">
        <f>IFERROR(S36*$B$23,0)</f>
        <v>439.81712534540077</v>
      </c>
      <c r="T38" s="152">
        <f>IFERROR(T36*$B$23,0)</f>
        <v>469.99078429417403</v>
      </c>
      <c r="U38" s="152">
        <f>IFERROR(U36*$B$23,0)</f>
        <v>500.43853387606561</v>
      </c>
      <c r="V38" s="152">
        <f>IFERROR(V36*$B$23,0)</f>
        <v>531.1812057352048</v>
      </c>
      <c r="W38" s="152">
        <f>IFERROR(W36*$B$23,0)</f>
        <v>575.83166332408712</v>
      </c>
      <c r="X38" s="152">
        <f>IFERROR(X36*$B$23,0)</f>
        <v>620.89615593312135</v>
      </c>
      <c r="Y38" s="152">
        <f>IFERROR(Y36*$B$23,0)</f>
        <v>666.40636588907284</v>
      </c>
      <c r="Z38" s="152">
        <f>IFERROR(Z36*$B$23,0)</f>
        <v>712.3987278677215</v>
      </c>
      <c r="AA38" s="152">
        <f>IFERROR(AA36*$B$23,0)</f>
        <v>758.91514174621432</v>
      </c>
      <c r="AB38" s="152">
        <f>IFERROR(AB36*$B$23,0)</f>
        <v>806.00379238326968</v>
      </c>
      <c r="AC38" s="152">
        <f>IFERROR(AC36*$B$23,0)</f>
        <v>853.72009236641543</v>
      </c>
      <c r="AD38" s="152">
        <f>IFERROR(AD36*$B$23,0)</f>
        <v>902.1277661713068</v>
      </c>
      <c r="AE38" s="152">
        <f>IFERROR(AE36*$B$23,0)</f>
        <v>951.30009694494777</v>
      </c>
      <c r="AF38" s="152">
        <f>IFERROR(AF36*$B$23,0)</f>
        <v>1001.3213603063934</v>
      </c>
      <c r="AG38" s="152">
        <f>IFERROR(AG36*$B$23,0)</f>
        <v>1052.2884732175571</v>
      </c>
      <c r="AH38" s="152">
        <f>IFERROR(AH36*$B$23,0)</f>
        <v>1104.3128901846383</v>
      </c>
      <c r="AI38" s="152">
        <f>IFERROR(AI36*$B$23,0)</f>
        <v>1165.6761281268157</v>
      </c>
      <c r="AJ38" s="152">
        <f>IFERROR(AJ36*$B$23,0)</f>
        <v>1228.4128052931674</v>
      </c>
      <c r="AK38" s="152">
        <f>IFERROR(AK36*$B$23,0)</f>
        <v>1292.6924300558098</v>
      </c>
      <c r="AL38" s="152">
        <f>IFERROR(AL36*$B$23,0)</f>
        <v>1358.7124037310095</v>
      </c>
      <c r="AM38" s="152">
        <f>IFERROR(AM36*$B$23,0)</f>
        <v>1426.6948167278906</v>
      </c>
      <c r="AN38" s="152">
        <f>IFERROR(AN36*$B$23,0)</f>
        <v>1496.8975274331956</v>
      </c>
      <c r="AO38" s="152">
        <f>IFERROR(AO36*$B$23,0)</f>
        <v>1569.6170729916798</v>
      </c>
      <c r="AP38" s="152">
        <f>IFERROR(AP36*$B$23,0)</f>
        <v>1645.1944711198103</v>
      </c>
      <c r="AQ38" s="152">
        <f>IFERROR(AQ36*$B$23,0)</f>
        <v>1724.0218921915252</v>
      </c>
      <c r="AR38" s="152">
        <f>IFERROR(AR36*$B$23,0)</f>
        <v>1806.5503321368526</v>
      </c>
      <c r="AS38" s="152">
        <f>IFERROR(AS36*$B$23,0)</f>
        <v>1893.2984362753255</v>
      </c>
      <c r="AT38" s="152">
        <f>IFERROR(AT36*$B$23,0)</f>
        <v>1984.862646724406</v>
      </c>
      <c r="AU38" s="152">
        <f>IFERROR(AU36*$B$23,0)</f>
        <v>1984.862646724406</v>
      </c>
      <c r="AV38" s="152"/>
      <c r="AW38" s="152"/>
      <c r="AX38" s="152"/>
      <c r="AY38" s="152"/>
      <c r="AZ38" s="152"/>
    </row>
    <row r="39" spans="1:52" s="151" customFormat="1" outlineLevel="1" x14ac:dyDescent="0.25">
      <c r="A39" s="226" t="s">
        <v>673</v>
      </c>
      <c r="B39" s="152"/>
      <c r="C39" s="152"/>
      <c r="D39" s="152"/>
      <c r="E39" s="152"/>
      <c r="F39" s="152"/>
      <c r="G39" s="152"/>
      <c r="H39" s="646">
        <f>H38*H37</f>
        <v>2.4857442113393864</v>
      </c>
      <c r="I39" s="152">
        <f>H39+(I38*I37)</f>
        <v>5.213251361785991</v>
      </c>
      <c r="J39" s="152">
        <f t="shared" ref="J39:M39" si="9">I39+(J38*J37)</f>
        <v>8.1841457398001261</v>
      </c>
      <c r="K39" s="152">
        <f t="shared" si="9"/>
        <v>11.626608045216612</v>
      </c>
      <c r="L39" s="152">
        <f t="shared" si="9"/>
        <v>15.543549789618268</v>
      </c>
      <c r="M39" s="152">
        <f t="shared" si="9"/>
        <v>19.937981178811366</v>
      </c>
      <c r="N39" s="152">
        <f t="shared" ref="N39" si="10">M39+(N38*N37)</f>
        <v>23.5942647324222</v>
      </c>
      <c r="O39" s="152">
        <f t="shared" ref="O39" si="11">N39+(O38*O37)</f>
        <v>27.613448968204352</v>
      </c>
      <c r="P39" s="152">
        <f t="shared" ref="P39" si="12">O39+(P38*P37)</f>
        <v>31.998087132795952</v>
      </c>
      <c r="Q39" s="152">
        <f t="shared" ref="Q39" si="13">P39+(Q38*Q37)</f>
        <v>36.750861935445371</v>
      </c>
      <c r="R39" s="152">
        <f t="shared" ref="R39" si="14">Q39+(R38*R37)</f>
        <v>41.874604967402746</v>
      </c>
      <c r="S39" s="152">
        <f t="shared" ref="S39" si="15">R39+(S38*S37)</f>
        <v>47.372319034220254</v>
      </c>
      <c r="T39" s="152">
        <f t="shared" ref="T39" si="16">S39+(T38*T37)</f>
        <v>53.24720383789743</v>
      </c>
      <c r="U39" s="152">
        <f t="shared" ref="U39" si="17">T39+(U38*U37)</f>
        <v>59.502685511348247</v>
      </c>
      <c r="V39" s="152">
        <f t="shared" ref="V39" si="18">U39+(V38*V37)</f>
        <v>66.142450583038311</v>
      </c>
      <c r="W39" s="152">
        <f t="shared" ref="W39" si="19">V39+(W38*W37)</f>
        <v>73.340346374589402</v>
      </c>
      <c r="X39" s="152">
        <f t="shared" ref="X39" si="20">W39+(X38*X37)</f>
        <v>81.10154832375342</v>
      </c>
      <c r="Y39" s="152">
        <f t="shared" ref="Y39" si="21">X39+(Y38*Y37)</f>
        <v>89.431627897366837</v>
      </c>
      <c r="Z39" s="152">
        <f t="shared" ref="Z39" si="22">Y39+(Z38*Z37)</f>
        <v>95.368283962931187</v>
      </c>
      <c r="AA39" s="152">
        <f t="shared" ref="AA39" si="23">Z39+(AA38*AA37)</f>
        <v>101.69257681081631</v>
      </c>
      <c r="AB39" s="152">
        <f t="shared" ref="AB39" si="24">AA39+(AB38*AB37)</f>
        <v>108.40927508067689</v>
      </c>
      <c r="AC39" s="152">
        <f t="shared" ref="AC39" si="25">AB39+(AC38*AC37)</f>
        <v>115.52360918373036</v>
      </c>
      <c r="AD39" s="152">
        <f t="shared" ref="AD39" si="26">AC39+(AD38*AD37)</f>
        <v>123.04134056849125</v>
      </c>
      <c r="AE39" s="152">
        <f t="shared" ref="AE39" si="27">AD39+(AE38*AE37)</f>
        <v>130.96884137636582</v>
      </c>
      <c r="AF39" s="152">
        <f t="shared" ref="AF39" si="28">AE39+(AF38*AF37)</f>
        <v>139.31318604558575</v>
      </c>
      <c r="AG39" s="152">
        <f t="shared" ref="AG39" si="29">AF39+(AG38*AG37)</f>
        <v>148.08225665573207</v>
      </c>
      <c r="AH39" s="152">
        <f t="shared" ref="AH39" si="30">AG39+(AH38*AH37)</f>
        <v>157.2848640739374</v>
      </c>
      <c r="AI39" s="152">
        <f t="shared" ref="AI39" si="31">AH39+(AI38*AI37)</f>
        <v>166.99883180832754</v>
      </c>
      <c r="AJ39" s="152">
        <f t="shared" ref="AJ39" si="32">AI39+(AJ38*AJ37)</f>
        <v>177.23560518577059</v>
      </c>
      <c r="AK39" s="152">
        <f t="shared" ref="AK39" si="33">AJ39+(AK38*AK37)</f>
        <v>188.00804210290235</v>
      </c>
      <c r="AL39" s="152">
        <f t="shared" ref="AL39" si="34">AK39+(AL38*AL37)</f>
        <v>197.06612479444243</v>
      </c>
      <c r="AM39" s="152">
        <f t="shared" ref="AM39" si="35">AL39+(AM38*AM37)</f>
        <v>206.57742357262836</v>
      </c>
      <c r="AN39" s="152">
        <f t="shared" ref="AN39" si="36">AM39+(AN38*AN37)</f>
        <v>216.556740422183</v>
      </c>
      <c r="AO39" s="152">
        <f t="shared" ref="AO39" si="37">AN39+(AO38*AO37)</f>
        <v>227.02085424212754</v>
      </c>
      <c r="AP39" s="152">
        <f t="shared" ref="AP39" si="38">AO39+(AP38*AP37)</f>
        <v>237.98881738292627</v>
      </c>
      <c r="AQ39" s="152">
        <f t="shared" ref="AQ39" si="39">AP39+(AQ38*AQ37)</f>
        <v>249.48229666420312</v>
      </c>
      <c r="AR39" s="152">
        <f t="shared" ref="AR39" si="40">AQ39+(AR38*AR37)</f>
        <v>261.52596554511547</v>
      </c>
      <c r="AS39" s="152">
        <f t="shared" ref="AS39" si="41">AR39+(AS38*AS37)</f>
        <v>274.14795512028428</v>
      </c>
      <c r="AT39" s="152">
        <f t="shared" ref="AT39" si="42">AS39+(AT38*AT37)</f>
        <v>287.38037276511363</v>
      </c>
      <c r="AU39" s="152">
        <f t="shared" ref="AU39" si="43">AT39+(AU38*AU37)</f>
        <v>300.61279040994299</v>
      </c>
      <c r="AV39" s="152"/>
      <c r="AW39" s="152"/>
      <c r="AX39" s="152"/>
      <c r="AY39" s="152"/>
      <c r="AZ39" s="152"/>
    </row>
    <row r="40" spans="1:52" s="150" customFormat="1" outlineLevel="1" x14ac:dyDescent="0.25">
      <c r="A40" s="228" t="s">
        <v>404</v>
      </c>
      <c r="B40" s="648"/>
      <c r="C40" s="648"/>
      <c r="D40" s="648"/>
      <c r="E40" s="648"/>
      <c r="F40" s="648"/>
      <c r="G40" s="648"/>
      <c r="H40" s="648">
        <f>H39+H38</f>
        <v>151.63039689170256</v>
      </c>
      <c r="I40" s="648">
        <f t="shared" ref="I40:M40" si="44">I39+I38</f>
        <v>168.86368038858225</v>
      </c>
      <c r="J40" s="648">
        <f t="shared" si="44"/>
        <v>186.43780842064825</v>
      </c>
      <c r="K40" s="648">
        <f t="shared" si="44"/>
        <v>218.17434637020574</v>
      </c>
      <c r="L40" s="648">
        <f t="shared" si="44"/>
        <v>250.56005445371773</v>
      </c>
      <c r="M40" s="648">
        <f t="shared" si="44"/>
        <v>283.60386453039729</v>
      </c>
      <c r="N40" s="648">
        <f t="shared" ref="N40" si="45">N39+N38</f>
        <v>316.09694902128882</v>
      </c>
      <c r="O40" s="648">
        <f t="shared" ref="O40" si="46">O39+O38</f>
        <v>349.14818783077664</v>
      </c>
      <c r="P40" s="648">
        <f t="shared" ref="P40" si="47">P39+P38</f>
        <v>382.76914030012404</v>
      </c>
      <c r="Q40" s="648">
        <f t="shared" ref="Q40" si="48">Q39+Q38</f>
        <v>416.97284614739868</v>
      </c>
      <c r="R40" s="648">
        <f t="shared" ref="R40" si="49">R39+R38</f>
        <v>451.77404752399252</v>
      </c>
      <c r="S40" s="648">
        <f t="shared" ref="S40" si="50">S39+S38</f>
        <v>487.18944437962102</v>
      </c>
      <c r="T40" s="648">
        <f t="shared" ref="T40" si="51">T39+T38</f>
        <v>523.23798813207145</v>
      </c>
      <c r="U40" s="648">
        <f t="shared" ref="U40" si="52">U39+U38</f>
        <v>559.94121938741387</v>
      </c>
      <c r="V40" s="648">
        <f t="shared" ref="V40" si="53">V39+V38</f>
        <v>597.32365631824314</v>
      </c>
      <c r="W40" s="648">
        <f t="shared" ref="W40" si="54">W39+W38</f>
        <v>649.17200969867656</v>
      </c>
      <c r="X40" s="648">
        <f t="shared" ref="X40" si="55">X39+X38</f>
        <v>701.99770425687473</v>
      </c>
      <c r="Y40" s="648">
        <f t="shared" ref="Y40" si="56">Y39+Y38</f>
        <v>755.83799378643971</v>
      </c>
      <c r="Z40" s="648">
        <f t="shared" ref="Z40" si="57">Z39+Z38</f>
        <v>807.76701183065268</v>
      </c>
      <c r="AA40" s="648">
        <f t="shared" ref="AA40" si="58">AA39+AA38</f>
        <v>860.60771855703058</v>
      </c>
      <c r="AB40" s="648">
        <f t="shared" ref="AB40" si="59">AB39+AB38</f>
        <v>914.41306746394662</v>
      </c>
      <c r="AC40" s="648">
        <f t="shared" ref="AC40" si="60">AC39+AC38</f>
        <v>969.24370155014583</v>
      </c>
      <c r="AD40" s="648">
        <f t="shared" ref="AD40" si="61">AD39+AD38</f>
        <v>1025.1691067397981</v>
      </c>
      <c r="AE40" s="648">
        <f t="shared" ref="AE40" si="62">AE39+AE38</f>
        <v>1082.2689383213135</v>
      </c>
      <c r="AF40" s="648">
        <f t="shared" ref="AF40" si="63">AF39+AF38</f>
        <v>1140.6345463519792</v>
      </c>
      <c r="AG40" s="648">
        <f t="shared" ref="AG40" si="64">AG39+AG38</f>
        <v>1200.3707298732893</v>
      </c>
      <c r="AH40" s="648">
        <f t="shared" ref="AH40" si="65">AH39+AH38</f>
        <v>1261.5977542585756</v>
      </c>
      <c r="AI40" s="648">
        <f t="shared" ref="AI40" si="66">AI39+AI38</f>
        <v>1332.6749599351433</v>
      </c>
      <c r="AJ40" s="648">
        <f t="shared" ref="AJ40" si="67">AJ39+AJ38</f>
        <v>1405.6484104789379</v>
      </c>
      <c r="AK40" s="648">
        <f t="shared" ref="AK40" si="68">AK39+AK38</f>
        <v>1480.7004721587123</v>
      </c>
      <c r="AL40" s="648">
        <f t="shared" ref="AL40" si="69">AL39+AL38</f>
        <v>1555.778528525452</v>
      </c>
      <c r="AM40" s="648">
        <f t="shared" ref="AM40" si="70">AM39+AM38</f>
        <v>1633.2722403005189</v>
      </c>
      <c r="AN40" s="648">
        <f t="shared" ref="AN40" si="71">AN39+AN38</f>
        <v>1713.4542678553785</v>
      </c>
      <c r="AO40" s="648">
        <f t="shared" ref="AO40" si="72">AO39+AO38</f>
        <v>1796.6379272338074</v>
      </c>
      <c r="AP40" s="648">
        <f t="shared" ref="AP40" si="73">AP39+AP38</f>
        <v>1883.1832885027366</v>
      </c>
      <c r="AQ40" s="648">
        <f t="shared" ref="AQ40" si="74">AQ39+AQ38</f>
        <v>1973.5041888557284</v>
      </c>
      <c r="AR40" s="648">
        <f t="shared" ref="AR40" si="75">AR39+AR38</f>
        <v>2068.0762976819678</v>
      </c>
      <c r="AS40" s="648">
        <f t="shared" ref="AS40" si="76">AS39+AS38</f>
        <v>2167.4463913956097</v>
      </c>
      <c r="AT40" s="648">
        <f t="shared" ref="AT40" si="77">AT39+AT38</f>
        <v>2272.2430194895196</v>
      </c>
      <c r="AU40" s="648">
        <f t="shared" ref="AU40" si="78">AU39+AU38</f>
        <v>2285.4754371343488</v>
      </c>
      <c r="AV40" s="647"/>
      <c r="AW40" s="647"/>
      <c r="AX40" s="647"/>
      <c r="AY40" s="647"/>
      <c r="AZ40" s="647"/>
    </row>
    <row r="41" spans="1:52" s="151" customFormat="1" outlineLevel="1" x14ac:dyDescent="0.25">
      <c r="A41" s="150"/>
      <c r="E41" s="150"/>
      <c r="H41" s="156"/>
      <c r="I41" s="153"/>
      <c r="J41" s="153"/>
    </row>
    <row r="42" spans="1:52" s="151" customFormat="1" outlineLevel="1" x14ac:dyDescent="0.25">
      <c r="A42" s="23" t="s">
        <v>406</v>
      </c>
      <c r="B42" s="24">
        <f>B35</f>
        <v>44287</v>
      </c>
      <c r="C42" s="24">
        <f>B42+31</f>
        <v>44318</v>
      </c>
      <c r="D42" s="24">
        <f t="shared" ref="D42:M42" si="79">C42+31</f>
        <v>44349</v>
      </c>
      <c r="E42" s="24">
        <f t="shared" si="79"/>
        <v>44380</v>
      </c>
      <c r="F42" s="24">
        <f t="shared" si="79"/>
        <v>44411</v>
      </c>
      <c r="G42" s="24">
        <f t="shared" si="79"/>
        <v>44442</v>
      </c>
      <c r="H42" s="24">
        <f t="shared" si="79"/>
        <v>44473</v>
      </c>
      <c r="I42" s="24">
        <f t="shared" si="79"/>
        <v>44504</v>
      </c>
      <c r="J42" s="24">
        <f t="shared" si="79"/>
        <v>44535</v>
      </c>
      <c r="K42" s="24">
        <f t="shared" si="79"/>
        <v>44566</v>
      </c>
      <c r="L42" s="24">
        <f t="shared" si="79"/>
        <v>44597</v>
      </c>
      <c r="M42" s="24">
        <f t="shared" si="79"/>
        <v>44628</v>
      </c>
      <c r="N42" s="24">
        <f t="shared" ref="N42:AU42" si="80">M42+31</f>
        <v>44659</v>
      </c>
      <c r="O42" s="24">
        <f t="shared" si="80"/>
        <v>44690</v>
      </c>
      <c r="P42" s="24">
        <f t="shared" si="80"/>
        <v>44721</v>
      </c>
      <c r="Q42" s="24">
        <f t="shared" si="80"/>
        <v>44752</v>
      </c>
      <c r="R42" s="24">
        <f t="shared" si="80"/>
        <v>44783</v>
      </c>
      <c r="S42" s="24">
        <f t="shared" si="80"/>
        <v>44814</v>
      </c>
      <c r="T42" s="24">
        <f t="shared" si="80"/>
        <v>44845</v>
      </c>
      <c r="U42" s="24">
        <f t="shared" si="80"/>
        <v>44876</v>
      </c>
      <c r="V42" s="24">
        <f t="shared" si="80"/>
        <v>44907</v>
      </c>
      <c r="W42" s="24">
        <f t="shared" si="80"/>
        <v>44938</v>
      </c>
      <c r="X42" s="24">
        <f t="shared" si="80"/>
        <v>44969</v>
      </c>
      <c r="Y42" s="24">
        <f t="shared" si="80"/>
        <v>45000</v>
      </c>
      <c r="Z42" s="24">
        <f t="shared" si="80"/>
        <v>45031</v>
      </c>
      <c r="AA42" s="24">
        <f t="shared" si="80"/>
        <v>45062</v>
      </c>
      <c r="AB42" s="24">
        <f t="shared" si="80"/>
        <v>45093</v>
      </c>
      <c r="AC42" s="24">
        <f t="shared" si="80"/>
        <v>45124</v>
      </c>
      <c r="AD42" s="24">
        <f t="shared" si="80"/>
        <v>45155</v>
      </c>
      <c r="AE42" s="24">
        <f t="shared" si="80"/>
        <v>45186</v>
      </c>
      <c r="AF42" s="24">
        <f t="shared" si="80"/>
        <v>45217</v>
      </c>
      <c r="AG42" s="24">
        <f t="shared" si="80"/>
        <v>45248</v>
      </c>
      <c r="AH42" s="24">
        <f t="shared" si="80"/>
        <v>45279</v>
      </c>
      <c r="AI42" s="24">
        <f t="shared" si="80"/>
        <v>45310</v>
      </c>
      <c r="AJ42" s="24">
        <f t="shared" si="80"/>
        <v>45341</v>
      </c>
      <c r="AK42" s="24">
        <f t="shared" si="80"/>
        <v>45372</v>
      </c>
      <c r="AL42" s="24">
        <f t="shared" si="80"/>
        <v>45403</v>
      </c>
      <c r="AM42" s="24">
        <f t="shared" si="80"/>
        <v>45434</v>
      </c>
      <c r="AN42" s="24">
        <f t="shared" si="80"/>
        <v>45465</v>
      </c>
      <c r="AO42" s="24">
        <f t="shared" si="80"/>
        <v>45496</v>
      </c>
      <c r="AP42" s="24">
        <f t="shared" si="80"/>
        <v>45527</v>
      </c>
      <c r="AQ42" s="24">
        <f t="shared" si="80"/>
        <v>45558</v>
      </c>
      <c r="AR42" s="24">
        <f t="shared" si="80"/>
        <v>45589</v>
      </c>
      <c r="AS42" s="24">
        <f t="shared" si="80"/>
        <v>45620</v>
      </c>
      <c r="AT42" s="24">
        <f t="shared" si="80"/>
        <v>45651</v>
      </c>
      <c r="AU42" s="24">
        <f t="shared" si="80"/>
        <v>45682</v>
      </c>
    </row>
    <row r="43" spans="1:52" s="151" customFormat="1" outlineLevel="1" x14ac:dyDescent="0.25">
      <c r="A43" s="151" t="s">
        <v>382</v>
      </c>
      <c r="B43" s="168">
        <f>B40*$I$30</f>
        <v>0</v>
      </c>
      <c r="C43" s="168">
        <f t="shared" ref="C43:AU43" si="81">C40*$I$30</f>
        <v>0</v>
      </c>
      <c r="D43" s="168">
        <f t="shared" si="81"/>
        <v>0</v>
      </c>
      <c r="E43" s="168">
        <f t="shared" si="81"/>
        <v>0</v>
      </c>
      <c r="F43" s="168">
        <f t="shared" si="81"/>
        <v>0</v>
      </c>
      <c r="G43" s="168">
        <f t="shared" si="81"/>
        <v>0</v>
      </c>
      <c r="H43" s="168">
        <f t="shared" si="81"/>
        <v>75.81519844585128</v>
      </c>
      <c r="I43" s="168">
        <f t="shared" si="81"/>
        <v>84.431840194291127</v>
      </c>
      <c r="J43" s="168">
        <f t="shared" si="81"/>
        <v>93.218904210324126</v>
      </c>
      <c r="K43" s="168">
        <f t="shared" si="81"/>
        <v>109.08717318510287</v>
      </c>
      <c r="L43" s="168">
        <f t="shared" si="81"/>
        <v>125.28002722685886</v>
      </c>
      <c r="M43" s="168">
        <f t="shared" si="81"/>
        <v>141.80193226519864</v>
      </c>
      <c r="N43" s="168">
        <f t="shared" si="81"/>
        <v>158.04847451064441</v>
      </c>
      <c r="O43" s="168">
        <f t="shared" si="81"/>
        <v>174.57409391538832</v>
      </c>
      <c r="P43" s="168">
        <f t="shared" si="81"/>
        <v>191.38457015006202</v>
      </c>
      <c r="Q43" s="168">
        <f t="shared" si="81"/>
        <v>208.48642307369934</v>
      </c>
      <c r="R43" s="168">
        <f t="shared" si="81"/>
        <v>225.88702376199626</v>
      </c>
      <c r="S43" s="168">
        <f t="shared" si="81"/>
        <v>243.59472218981051</v>
      </c>
      <c r="T43" s="168">
        <f t="shared" si="81"/>
        <v>261.61899406603573</v>
      </c>
      <c r="U43" s="168">
        <f t="shared" si="81"/>
        <v>279.97060969370693</v>
      </c>
      <c r="V43" s="168">
        <f t="shared" si="81"/>
        <v>298.66182815912157</v>
      </c>
      <c r="W43" s="168">
        <f t="shared" si="81"/>
        <v>324.58600484933828</v>
      </c>
      <c r="X43" s="168">
        <f t="shared" si="81"/>
        <v>350.99885212843736</v>
      </c>
      <c r="Y43" s="168">
        <f t="shared" si="81"/>
        <v>377.91899689321986</v>
      </c>
      <c r="Z43" s="168">
        <f t="shared" si="81"/>
        <v>403.88350591532634</v>
      </c>
      <c r="AA43" s="168">
        <f t="shared" si="81"/>
        <v>430.30385927851529</v>
      </c>
      <c r="AB43" s="168">
        <f t="shared" si="81"/>
        <v>457.20653373197331</v>
      </c>
      <c r="AC43" s="168">
        <f t="shared" si="81"/>
        <v>484.62185077507291</v>
      </c>
      <c r="AD43" s="168">
        <f t="shared" si="81"/>
        <v>512.58455336989903</v>
      </c>
      <c r="AE43" s="168">
        <f t="shared" si="81"/>
        <v>541.13446916065675</v>
      </c>
      <c r="AF43" s="168">
        <f t="shared" si="81"/>
        <v>570.31727317598961</v>
      </c>
      <c r="AG43" s="168">
        <f t="shared" si="81"/>
        <v>600.18536493664465</v>
      </c>
      <c r="AH43" s="168">
        <f t="shared" si="81"/>
        <v>630.7988771292878</v>
      </c>
      <c r="AI43" s="168">
        <f t="shared" si="81"/>
        <v>666.33747996757165</v>
      </c>
      <c r="AJ43" s="168">
        <f t="shared" si="81"/>
        <v>702.82420523946894</v>
      </c>
      <c r="AK43" s="168">
        <f t="shared" si="81"/>
        <v>740.35023607935614</v>
      </c>
      <c r="AL43" s="168">
        <f t="shared" si="81"/>
        <v>777.88926426272599</v>
      </c>
      <c r="AM43" s="168">
        <f t="shared" si="81"/>
        <v>816.63612015025944</v>
      </c>
      <c r="AN43" s="168">
        <f t="shared" si="81"/>
        <v>856.72713392768924</v>
      </c>
      <c r="AO43" s="168">
        <f t="shared" si="81"/>
        <v>898.31896361690372</v>
      </c>
      <c r="AP43" s="168">
        <f t="shared" si="81"/>
        <v>941.59164425136828</v>
      </c>
      <c r="AQ43" s="168">
        <f t="shared" si="81"/>
        <v>986.75209442786422</v>
      </c>
      <c r="AR43" s="168">
        <f t="shared" si="81"/>
        <v>1034.0381488409839</v>
      </c>
      <c r="AS43" s="168">
        <f t="shared" si="81"/>
        <v>1083.7231956978048</v>
      </c>
      <c r="AT43" s="168">
        <f t="shared" si="81"/>
        <v>1136.1215097447598</v>
      </c>
      <c r="AU43" s="168">
        <f t="shared" si="81"/>
        <v>1142.7377185671744</v>
      </c>
    </row>
    <row r="44" spans="1:52" s="151" customFormat="1" outlineLevel="1" x14ac:dyDescent="0.25">
      <c r="A44" s="151" t="s">
        <v>383</v>
      </c>
      <c r="B44" s="162">
        <f>B40*$I$31</f>
        <v>0</v>
      </c>
      <c r="C44" s="162">
        <f t="shared" ref="C44:AU44" si="82">C40*$I$31</f>
        <v>0</v>
      </c>
      <c r="D44" s="162">
        <f t="shared" si="82"/>
        <v>0</v>
      </c>
      <c r="E44" s="162">
        <f t="shared" si="82"/>
        <v>0</v>
      </c>
      <c r="F44" s="162">
        <f t="shared" si="82"/>
        <v>0</v>
      </c>
      <c r="G44" s="162">
        <f t="shared" si="82"/>
        <v>0</v>
      </c>
      <c r="H44" s="162">
        <f t="shared" si="82"/>
        <v>60.652158756681025</v>
      </c>
      <c r="I44" s="162">
        <f t="shared" si="82"/>
        <v>67.545472155432904</v>
      </c>
      <c r="J44" s="162">
        <f t="shared" si="82"/>
        <v>74.575123368259298</v>
      </c>
      <c r="K44" s="162">
        <f t="shared" si="82"/>
        <v>87.269738548082302</v>
      </c>
      <c r="L44" s="162">
        <f t="shared" si="82"/>
        <v>100.2240217814871</v>
      </c>
      <c r="M44" s="162">
        <f t="shared" si="82"/>
        <v>113.44154581215892</v>
      </c>
      <c r="N44" s="162">
        <f t="shared" si="82"/>
        <v>126.43877960851553</v>
      </c>
      <c r="O44" s="162">
        <f t="shared" si="82"/>
        <v>139.65927513231065</v>
      </c>
      <c r="P44" s="162">
        <f t="shared" si="82"/>
        <v>153.10765612004963</v>
      </c>
      <c r="Q44" s="162">
        <f t="shared" si="82"/>
        <v>166.78913845895948</v>
      </c>
      <c r="R44" s="162">
        <f t="shared" si="82"/>
        <v>180.70961900959702</v>
      </c>
      <c r="S44" s="162">
        <f t="shared" si="82"/>
        <v>194.87577775184843</v>
      </c>
      <c r="T44" s="162">
        <f t="shared" si="82"/>
        <v>209.29519525282859</v>
      </c>
      <c r="U44" s="162">
        <f t="shared" si="82"/>
        <v>223.97648775496555</v>
      </c>
      <c r="V44" s="162">
        <f t="shared" si="82"/>
        <v>238.92946252729726</v>
      </c>
      <c r="W44" s="162">
        <f t="shared" si="82"/>
        <v>259.66880387947066</v>
      </c>
      <c r="X44" s="162">
        <f t="shared" si="82"/>
        <v>280.7990817027499</v>
      </c>
      <c r="Y44" s="162">
        <f t="shared" si="82"/>
        <v>302.3351975145759</v>
      </c>
      <c r="Z44" s="162">
        <f t="shared" si="82"/>
        <v>323.10680473226108</v>
      </c>
      <c r="AA44" s="162">
        <f t="shared" si="82"/>
        <v>344.24308742281227</v>
      </c>
      <c r="AB44" s="162">
        <f t="shared" si="82"/>
        <v>365.76522698557869</v>
      </c>
      <c r="AC44" s="162">
        <f t="shared" si="82"/>
        <v>387.69748062005834</v>
      </c>
      <c r="AD44" s="162">
        <f t="shared" si="82"/>
        <v>410.06764269591923</v>
      </c>
      <c r="AE44" s="162">
        <f t="shared" si="82"/>
        <v>432.90757532852541</v>
      </c>
      <c r="AF44" s="162">
        <f t="shared" si="82"/>
        <v>456.25381854079171</v>
      </c>
      <c r="AG44" s="162">
        <f t="shared" si="82"/>
        <v>480.14829194931576</v>
      </c>
      <c r="AH44" s="162">
        <f t="shared" si="82"/>
        <v>504.63910170343024</v>
      </c>
      <c r="AI44" s="162">
        <f t="shared" si="82"/>
        <v>533.06998397405732</v>
      </c>
      <c r="AJ44" s="162">
        <f t="shared" si="82"/>
        <v>562.25936419157517</v>
      </c>
      <c r="AK44" s="162">
        <f t="shared" si="82"/>
        <v>592.28018886348491</v>
      </c>
      <c r="AL44" s="162">
        <f t="shared" si="82"/>
        <v>622.31141141018088</v>
      </c>
      <c r="AM44" s="162">
        <f t="shared" si="82"/>
        <v>653.30889612020758</v>
      </c>
      <c r="AN44" s="162">
        <f t="shared" si="82"/>
        <v>685.38170714215141</v>
      </c>
      <c r="AO44" s="162">
        <f t="shared" si="82"/>
        <v>718.65517089352306</v>
      </c>
      <c r="AP44" s="162">
        <f t="shared" si="82"/>
        <v>753.27331540109469</v>
      </c>
      <c r="AQ44" s="162">
        <f t="shared" si="82"/>
        <v>789.4016755422914</v>
      </c>
      <c r="AR44" s="162">
        <f t="shared" si="82"/>
        <v>827.23051907278716</v>
      </c>
      <c r="AS44" s="162">
        <f t="shared" si="82"/>
        <v>866.97855655824389</v>
      </c>
      <c r="AT44" s="162">
        <f t="shared" si="82"/>
        <v>908.89720779580784</v>
      </c>
      <c r="AU44" s="162">
        <f t="shared" si="82"/>
        <v>914.19017485373956</v>
      </c>
    </row>
    <row r="45" spans="1:52" s="151" customFormat="1" outlineLevel="1" x14ac:dyDescent="0.25">
      <c r="A45" s="151" t="s">
        <v>384</v>
      </c>
      <c r="B45" s="162">
        <f>B40*$I$32</f>
        <v>0</v>
      </c>
      <c r="C45" s="162">
        <f t="shared" ref="C45:AU45" si="83">C40*$I$32</f>
        <v>0</v>
      </c>
      <c r="D45" s="162">
        <f t="shared" si="83"/>
        <v>0</v>
      </c>
      <c r="E45" s="162">
        <f t="shared" si="83"/>
        <v>0</v>
      </c>
      <c r="F45" s="162">
        <f t="shared" si="83"/>
        <v>0</v>
      </c>
      <c r="G45" s="162">
        <f t="shared" si="83"/>
        <v>0</v>
      </c>
      <c r="H45" s="162">
        <f t="shared" si="83"/>
        <v>13.646735720253229</v>
      </c>
      <c r="I45" s="162">
        <f t="shared" si="83"/>
        <v>15.197731234972402</v>
      </c>
      <c r="J45" s="162">
        <f t="shared" si="83"/>
        <v>16.779402757858342</v>
      </c>
      <c r="K45" s="162">
        <f t="shared" si="83"/>
        <v>19.635691173318516</v>
      </c>
      <c r="L45" s="162">
        <f t="shared" si="83"/>
        <v>22.550404900834593</v>
      </c>
      <c r="M45" s="162">
        <f t="shared" si="83"/>
        <v>25.524347807735754</v>
      </c>
      <c r="N45" s="162">
        <f t="shared" si="83"/>
        <v>28.448725411915994</v>
      </c>
      <c r="O45" s="162">
        <f t="shared" si="83"/>
        <v>31.423336904769897</v>
      </c>
      <c r="P45" s="162">
        <f t="shared" si="83"/>
        <v>34.44922262701116</v>
      </c>
      <c r="Q45" s="162">
        <f t="shared" si="83"/>
        <v>37.527556153265877</v>
      </c>
      <c r="R45" s="162">
        <f t="shared" si="83"/>
        <v>40.659664277159322</v>
      </c>
      <c r="S45" s="162">
        <f t="shared" si="83"/>
        <v>43.847049994165893</v>
      </c>
      <c r="T45" s="162">
        <f t="shared" si="83"/>
        <v>47.09141893188643</v>
      </c>
      <c r="U45" s="162">
        <f t="shared" si="83"/>
        <v>50.394709744867249</v>
      </c>
      <c r="V45" s="162">
        <f t="shared" si="83"/>
        <v>53.759129068641883</v>
      </c>
      <c r="W45" s="162">
        <f t="shared" si="83"/>
        <v>58.42548087288089</v>
      </c>
      <c r="X45" s="162">
        <f t="shared" si="83"/>
        <v>63.179793383118721</v>
      </c>
      <c r="Y45" s="162">
        <f t="shared" si="83"/>
        <v>68.025419440779572</v>
      </c>
      <c r="Z45" s="162">
        <f t="shared" si="83"/>
        <v>72.699031064758742</v>
      </c>
      <c r="AA45" s="162">
        <f t="shared" si="83"/>
        <v>77.454694670132753</v>
      </c>
      <c r="AB45" s="162">
        <f t="shared" si="83"/>
        <v>82.297176071755189</v>
      </c>
      <c r="AC45" s="162">
        <f t="shared" si="83"/>
        <v>87.231933139513117</v>
      </c>
      <c r="AD45" s="162">
        <f t="shared" si="83"/>
        <v>92.265219606581823</v>
      </c>
      <c r="AE45" s="162">
        <f t="shared" si="83"/>
        <v>97.404204448918208</v>
      </c>
      <c r="AF45" s="162">
        <f t="shared" si="83"/>
        <v>102.65710917167813</v>
      </c>
      <c r="AG45" s="162">
        <f t="shared" si="83"/>
        <v>108.03336568859604</v>
      </c>
      <c r="AH45" s="162">
        <f t="shared" si="83"/>
        <v>113.54379788327181</v>
      </c>
      <c r="AI45" s="162">
        <f t="shared" si="83"/>
        <v>119.94074639416289</v>
      </c>
      <c r="AJ45" s="162">
        <f t="shared" si="83"/>
        <v>126.5083569431044</v>
      </c>
      <c r="AK45" s="162">
        <f t="shared" si="83"/>
        <v>133.26304249428409</v>
      </c>
      <c r="AL45" s="162">
        <f t="shared" si="83"/>
        <v>140.02006756729068</v>
      </c>
      <c r="AM45" s="162">
        <f t="shared" si="83"/>
        <v>146.9945016270467</v>
      </c>
      <c r="AN45" s="162">
        <f t="shared" si="83"/>
        <v>154.21088410698405</v>
      </c>
      <c r="AO45" s="162">
        <f t="shared" si="83"/>
        <v>161.69741345104265</v>
      </c>
      <c r="AP45" s="162">
        <f t="shared" si="83"/>
        <v>169.48649596524629</v>
      </c>
      <c r="AQ45" s="162">
        <f t="shared" si="83"/>
        <v>177.61537699701555</v>
      </c>
      <c r="AR45" s="162">
        <f t="shared" si="83"/>
        <v>186.1268667913771</v>
      </c>
      <c r="AS45" s="162">
        <f t="shared" si="83"/>
        <v>195.07017522560486</v>
      </c>
      <c r="AT45" s="162">
        <f t="shared" si="83"/>
        <v>204.50187175405676</v>
      </c>
      <c r="AU45" s="162">
        <f t="shared" si="83"/>
        <v>205.69278934209137</v>
      </c>
    </row>
    <row r="46" spans="1:52" s="151" customFormat="1" outlineLevel="1" x14ac:dyDescent="0.25">
      <c r="A46" s="151" t="s">
        <v>403</v>
      </c>
      <c r="B46" s="151">
        <f>ROUND(B40*$I$33,0)</f>
        <v>0</v>
      </c>
      <c r="C46" s="151">
        <f t="shared" ref="C46:AU46" si="84">ROUND(C40*$I$33,0)</f>
        <v>0</v>
      </c>
      <c r="D46" s="151">
        <f t="shared" si="84"/>
        <v>0</v>
      </c>
      <c r="E46" s="151">
        <f t="shared" si="84"/>
        <v>0</v>
      </c>
      <c r="F46" s="151">
        <f t="shared" si="84"/>
        <v>0</v>
      </c>
      <c r="G46" s="151">
        <f t="shared" si="84"/>
        <v>0</v>
      </c>
      <c r="H46" s="151">
        <f t="shared" si="84"/>
        <v>2</v>
      </c>
      <c r="I46" s="151">
        <f t="shared" si="84"/>
        <v>2</v>
      </c>
      <c r="J46" s="151">
        <f t="shared" si="84"/>
        <v>2</v>
      </c>
      <c r="K46" s="151">
        <f t="shared" si="84"/>
        <v>2</v>
      </c>
      <c r="L46" s="151">
        <f t="shared" si="84"/>
        <v>3</v>
      </c>
      <c r="M46" s="151">
        <f t="shared" si="84"/>
        <v>3</v>
      </c>
      <c r="N46" s="151">
        <f t="shared" si="84"/>
        <v>3</v>
      </c>
      <c r="O46" s="151">
        <f t="shared" si="84"/>
        <v>3</v>
      </c>
      <c r="P46" s="151">
        <f t="shared" si="84"/>
        <v>4</v>
      </c>
      <c r="Q46" s="151">
        <f t="shared" si="84"/>
        <v>4</v>
      </c>
      <c r="R46" s="151">
        <f t="shared" si="84"/>
        <v>5</v>
      </c>
      <c r="S46" s="151">
        <f t="shared" si="84"/>
        <v>5</v>
      </c>
      <c r="T46" s="151">
        <f t="shared" si="84"/>
        <v>5</v>
      </c>
      <c r="U46" s="151">
        <f t="shared" si="84"/>
        <v>6</v>
      </c>
      <c r="V46" s="151">
        <f t="shared" si="84"/>
        <v>6</v>
      </c>
      <c r="W46" s="151">
        <f t="shared" si="84"/>
        <v>6</v>
      </c>
      <c r="X46" s="151">
        <f t="shared" si="84"/>
        <v>7</v>
      </c>
      <c r="Y46" s="151">
        <f t="shared" si="84"/>
        <v>8</v>
      </c>
      <c r="Z46" s="151">
        <f t="shared" si="84"/>
        <v>8</v>
      </c>
      <c r="AA46" s="151">
        <f t="shared" si="84"/>
        <v>9</v>
      </c>
      <c r="AB46" s="151">
        <f t="shared" si="84"/>
        <v>9</v>
      </c>
      <c r="AC46" s="151">
        <f t="shared" si="84"/>
        <v>10</v>
      </c>
      <c r="AD46" s="151">
        <f t="shared" si="84"/>
        <v>10</v>
      </c>
      <c r="AE46" s="151">
        <f t="shared" si="84"/>
        <v>11</v>
      </c>
      <c r="AF46" s="151">
        <f t="shared" si="84"/>
        <v>11</v>
      </c>
      <c r="AG46" s="151">
        <f t="shared" si="84"/>
        <v>12</v>
      </c>
      <c r="AH46" s="151">
        <f t="shared" si="84"/>
        <v>13</v>
      </c>
      <c r="AI46" s="151">
        <f t="shared" si="84"/>
        <v>13</v>
      </c>
      <c r="AJ46" s="151">
        <f t="shared" si="84"/>
        <v>14</v>
      </c>
      <c r="AK46" s="151">
        <f t="shared" si="84"/>
        <v>15</v>
      </c>
      <c r="AL46" s="151">
        <f t="shared" si="84"/>
        <v>16</v>
      </c>
      <c r="AM46" s="151">
        <f t="shared" si="84"/>
        <v>16</v>
      </c>
      <c r="AN46" s="151">
        <f t="shared" si="84"/>
        <v>17</v>
      </c>
      <c r="AO46" s="151">
        <f t="shared" si="84"/>
        <v>18</v>
      </c>
      <c r="AP46" s="151">
        <f t="shared" si="84"/>
        <v>19</v>
      </c>
      <c r="AQ46" s="151">
        <f t="shared" si="84"/>
        <v>20</v>
      </c>
      <c r="AR46" s="151">
        <f t="shared" si="84"/>
        <v>21</v>
      </c>
      <c r="AS46" s="151">
        <f t="shared" si="84"/>
        <v>22</v>
      </c>
      <c r="AT46" s="151">
        <f t="shared" si="84"/>
        <v>23</v>
      </c>
      <c r="AU46" s="151">
        <f t="shared" si="84"/>
        <v>23</v>
      </c>
    </row>
    <row r="47" spans="1:52" s="151" customFormat="1" outlineLevel="1" x14ac:dyDescent="0.25">
      <c r="B47" s="155"/>
    </row>
    <row r="48" spans="1:52" s="151" customFormat="1" outlineLevel="1" x14ac:dyDescent="0.25">
      <c r="A48" s="23" t="s">
        <v>407</v>
      </c>
      <c r="B48" s="24">
        <f>B42</f>
        <v>44287</v>
      </c>
      <c r="C48" s="24">
        <f>B48+31</f>
        <v>44318</v>
      </c>
      <c r="D48" s="24">
        <f t="shared" ref="D48:M48" si="85">C48+31</f>
        <v>44349</v>
      </c>
      <c r="E48" s="24">
        <f t="shared" si="85"/>
        <v>44380</v>
      </c>
      <c r="F48" s="24">
        <f t="shared" si="85"/>
        <v>44411</v>
      </c>
      <c r="G48" s="24">
        <f t="shared" si="85"/>
        <v>44442</v>
      </c>
      <c r="H48" s="24">
        <f t="shared" si="85"/>
        <v>44473</v>
      </c>
      <c r="I48" s="24">
        <f t="shared" si="85"/>
        <v>44504</v>
      </c>
      <c r="J48" s="24">
        <f t="shared" si="85"/>
        <v>44535</v>
      </c>
      <c r="K48" s="24">
        <f t="shared" si="85"/>
        <v>44566</v>
      </c>
      <c r="L48" s="24">
        <f t="shared" si="85"/>
        <v>44597</v>
      </c>
      <c r="M48" s="24">
        <f t="shared" si="85"/>
        <v>44628</v>
      </c>
      <c r="N48" s="24">
        <f t="shared" ref="N48:AU48" si="86">M48+31</f>
        <v>44659</v>
      </c>
      <c r="O48" s="24">
        <f t="shared" si="86"/>
        <v>44690</v>
      </c>
      <c r="P48" s="24">
        <f t="shared" si="86"/>
        <v>44721</v>
      </c>
      <c r="Q48" s="24">
        <f t="shared" si="86"/>
        <v>44752</v>
      </c>
      <c r="R48" s="24">
        <f t="shared" si="86"/>
        <v>44783</v>
      </c>
      <c r="S48" s="24">
        <f t="shared" si="86"/>
        <v>44814</v>
      </c>
      <c r="T48" s="24">
        <f t="shared" si="86"/>
        <v>44845</v>
      </c>
      <c r="U48" s="24">
        <f t="shared" si="86"/>
        <v>44876</v>
      </c>
      <c r="V48" s="24">
        <f t="shared" si="86"/>
        <v>44907</v>
      </c>
      <c r="W48" s="24">
        <f t="shared" si="86"/>
        <v>44938</v>
      </c>
      <c r="X48" s="24">
        <f t="shared" si="86"/>
        <v>44969</v>
      </c>
      <c r="Y48" s="24">
        <f t="shared" si="86"/>
        <v>45000</v>
      </c>
      <c r="Z48" s="24">
        <f t="shared" si="86"/>
        <v>45031</v>
      </c>
      <c r="AA48" s="24">
        <f t="shared" si="86"/>
        <v>45062</v>
      </c>
      <c r="AB48" s="24">
        <f t="shared" si="86"/>
        <v>45093</v>
      </c>
      <c r="AC48" s="24">
        <f t="shared" si="86"/>
        <v>45124</v>
      </c>
      <c r="AD48" s="24">
        <f t="shared" si="86"/>
        <v>45155</v>
      </c>
      <c r="AE48" s="24">
        <f t="shared" si="86"/>
        <v>45186</v>
      </c>
      <c r="AF48" s="24">
        <f t="shared" si="86"/>
        <v>45217</v>
      </c>
      <c r="AG48" s="24">
        <f t="shared" si="86"/>
        <v>45248</v>
      </c>
      <c r="AH48" s="24">
        <f t="shared" si="86"/>
        <v>45279</v>
      </c>
      <c r="AI48" s="24">
        <f t="shared" si="86"/>
        <v>45310</v>
      </c>
      <c r="AJ48" s="24">
        <f t="shared" si="86"/>
        <v>45341</v>
      </c>
      <c r="AK48" s="24">
        <f t="shared" si="86"/>
        <v>45372</v>
      </c>
      <c r="AL48" s="24">
        <f t="shared" si="86"/>
        <v>45403</v>
      </c>
      <c r="AM48" s="24">
        <f t="shared" si="86"/>
        <v>45434</v>
      </c>
      <c r="AN48" s="24">
        <f t="shared" si="86"/>
        <v>45465</v>
      </c>
      <c r="AO48" s="24">
        <f t="shared" si="86"/>
        <v>45496</v>
      </c>
      <c r="AP48" s="24">
        <f t="shared" si="86"/>
        <v>45527</v>
      </c>
      <c r="AQ48" s="24">
        <f t="shared" si="86"/>
        <v>45558</v>
      </c>
      <c r="AR48" s="24">
        <f t="shared" si="86"/>
        <v>45589</v>
      </c>
      <c r="AS48" s="24">
        <f t="shared" si="86"/>
        <v>45620</v>
      </c>
      <c r="AT48" s="24">
        <f t="shared" si="86"/>
        <v>45651</v>
      </c>
      <c r="AU48" s="24">
        <f t="shared" si="86"/>
        <v>45682</v>
      </c>
    </row>
    <row r="49" spans="1:47" s="151" customFormat="1" outlineLevel="1" x14ac:dyDescent="0.25">
      <c r="A49" s="151" t="s">
        <v>382</v>
      </c>
      <c r="B49" s="157">
        <f t="shared" ref="B49:AU49" si="87">B43*$I$24</f>
        <v>0</v>
      </c>
      <c r="C49" s="157">
        <f t="shared" si="87"/>
        <v>0</v>
      </c>
      <c r="D49" s="157">
        <f t="shared" si="87"/>
        <v>0</v>
      </c>
      <c r="E49" s="157">
        <f t="shared" si="87"/>
        <v>0</v>
      </c>
      <c r="F49" s="157">
        <f t="shared" si="87"/>
        <v>0</v>
      </c>
      <c r="G49" s="157">
        <f t="shared" si="87"/>
        <v>0</v>
      </c>
      <c r="H49" s="157">
        <f t="shared" si="87"/>
        <v>2274.4559533755382</v>
      </c>
      <c r="I49" s="157">
        <f t="shared" si="87"/>
        <v>2532.9552058287336</v>
      </c>
      <c r="J49" s="157">
        <f t="shared" si="87"/>
        <v>2796.5671263097238</v>
      </c>
      <c r="K49" s="157">
        <f t="shared" si="87"/>
        <v>3272.6151955530859</v>
      </c>
      <c r="L49" s="157">
        <f t="shared" si="87"/>
        <v>3758.4008168057658</v>
      </c>
      <c r="M49" s="157">
        <f t="shared" si="87"/>
        <v>4254.0579679559596</v>
      </c>
      <c r="N49" s="157">
        <f t="shared" si="87"/>
        <v>4741.4542353193319</v>
      </c>
      <c r="O49" s="157">
        <f t="shared" si="87"/>
        <v>5237.2228174616494</v>
      </c>
      <c r="P49" s="157">
        <f t="shared" si="87"/>
        <v>5741.5371045018601</v>
      </c>
      <c r="Q49" s="157">
        <f t="shared" si="87"/>
        <v>6254.5926922109802</v>
      </c>
      <c r="R49" s="157">
        <f t="shared" si="87"/>
        <v>6776.6107128598878</v>
      </c>
      <c r="S49" s="157">
        <f t="shared" si="87"/>
        <v>7307.8416656943155</v>
      </c>
      <c r="T49" s="157">
        <f t="shared" si="87"/>
        <v>7848.569821981072</v>
      </c>
      <c r="U49" s="157">
        <f t="shared" si="87"/>
        <v>8399.1182908112078</v>
      </c>
      <c r="V49" s="157">
        <f t="shared" si="87"/>
        <v>8959.8548447736466</v>
      </c>
      <c r="W49" s="157">
        <f t="shared" si="87"/>
        <v>9737.5801454801476</v>
      </c>
      <c r="X49" s="157">
        <f t="shared" si="87"/>
        <v>10529.96556385312</v>
      </c>
      <c r="Y49" s="157">
        <f t="shared" si="87"/>
        <v>11337.569906796596</v>
      </c>
      <c r="Z49" s="157">
        <f t="shared" si="87"/>
        <v>12116.505177459791</v>
      </c>
      <c r="AA49" s="157">
        <f t="shared" si="87"/>
        <v>12909.115778355459</v>
      </c>
      <c r="AB49" s="157">
        <f t="shared" si="87"/>
        <v>13716.196011959199</v>
      </c>
      <c r="AC49" s="157">
        <f t="shared" si="87"/>
        <v>14538.655523252188</v>
      </c>
      <c r="AD49" s="157">
        <f t="shared" si="87"/>
        <v>15377.53660109697</v>
      </c>
      <c r="AE49" s="157">
        <f t="shared" si="87"/>
        <v>16234.034074819703</v>
      </c>
      <c r="AF49" s="157">
        <f t="shared" si="87"/>
        <v>17109.518195279688</v>
      </c>
      <c r="AG49" s="157">
        <f t="shared" si="87"/>
        <v>18005.560948099341</v>
      </c>
      <c r="AH49" s="157">
        <f t="shared" si="87"/>
        <v>18923.966313878635</v>
      </c>
      <c r="AI49" s="157">
        <f t="shared" si="87"/>
        <v>19990.124399027151</v>
      </c>
      <c r="AJ49" s="157">
        <f t="shared" si="87"/>
        <v>21084.726157184068</v>
      </c>
      <c r="AK49" s="157">
        <f t="shared" si="87"/>
        <v>22210.507082380685</v>
      </c>
      <c r="AL49" s="157">
        <f t="shared" si="87"/>
        <v>23336.677927881781</v>
      </c>
      <c r="AM49" s="157">
        <f t="shared" si="87"/>
        <v>24499.083604507785</v>
      </c>
      <c r="AN49" s="157">
        <f t="shared" si="87"/>
        <v>25701.814017830678</v>
      </c>
      <c r="AO49" s="157">
        <f t="shared" si="87"/>
        <v>26949.56890850711</v>
      </c>
      <c r="AP49" s="157">
        <f t="shared" si="87"/>
        <v>28247.749327541049</v>
      </c>
      <c r="AQ49" s="157">
        <f t="shared" si="87"/>
        <v>29602.562832835927</v>
      </c>
      <c r="AR49" s="157">
        <f t="shared" si="87"/>
        <v>31021.144465229518</v>
      </c>
      <c r="AS49" s="157">
        <f t="shared" si="87"/>
        <v>32511.695870934145</v>
      </c>
      <c r="AT49" s="157">
        <f t="shared" si="87"/>
        <v>34083.645292342793</v>
      </c>
      <c r="AU49" s="157">
        <f t="shared" si="87"/>
        <v>34282.131557015229</v>
      </c>
    </row>
    <row r="50" spans="1:47" s="151" customFormat="1" outlineLevel="1" x14ac:dyDescent="0.25">
      <c r="A50" s="151" t="s">
        <v>383</v>
      </c>
      <c r="B50" s="158">
        <f t="shared" ref="B50:AU50" si="88">B44*$I$25</f>
        <v>0</v>
      </c>
      <c r="C50" s="158">
        <f t="shared" si="88"/>
        <v>0</v>
      </c>
      <c r="D50" s="158">
        <f t="shared" si="88"/>
        <v>0</v>
      </c>
      <c r="E50" s="158">
        <f t="shared" si="88"/>
        <v>0</v>
      </c>
      <c r="F50" s="158">
        <f t="shared" si="88"/>
        <v>0</v>
      </c>
      <c r="G50" s="158">
        <f t="shared" si="88"/>
        <v>0</v>
      </c>
      <c r="H50" s="158">
        <f t="shared" si="88"/>
        <v>24260.863502672411</v>
      </c>
      <c r="I50" s="158">
        <f t="shared" si="88"/>
        <v>27018.188862173163</v>
      </c>
      <c r="J50" s="158">
        <f t="shared" si="88"/>
        <v>29830.04934730372</v>
      </c>
      <c r="K50" s="158">
        <f t="shared" si="88"/>
        <v>34907.895419232918</v>
      </c>
      <c r="L50" s="158">
        <f t="shared" si="88"/>
        <v>40089.60871259484</v>
      </c>
      <c r="M50" s="158">
        <f t="shared" si="88"/>
        <v>45376.618324863572</v>
      </c>
      <c r="N50" s="158">
        <f t="shared" si="88"/>
        <v>50575.51184340621</v>
      </c>
      <c r="O50" s="158">
        <f t="shared" si="88"/>
        <v>55863.71005292426</v>
      </c>
      <c r="P50" s="158">
        <f t="shared" si="88"/>
        <v>61243.062448019853</v>
      </c>
      <c r="Q50" s="158">
        <f t="shared" si="88"/>
        <v>66715.655383583799</v>
      </c>
      <c r="R50" s="158">
        <f t="shared" si="88"/>
        <v>72283.847603838803</v>
      </c>
      <c r="S50" s="158">
        <f t="shared" si="88"/>
        <v>77950.311100739375</v>
      </c>
      <c r="T50" s="158">
        <f t="shared" si="88"/>
        <v>83718.078101131439</v>
      </c>
      <c r="U50" s="158">
        <f t="shared" si="88"/>
        <v>89590.595101986226</v>
      </c>
      <c r="V50" s="158">
        <f t="shared" si="88"/>
        <v>95571.785010918902</v>
      </c>
      <c r="W50" s="158">
        <f t="shared" si="88"/>
        <v>103867.52155178826</v>
      </c>
      <c r="X50" s="158">
        <f t="shared" si="88"/>
        <v>112319.63268109996</v>
      </c>
      <c r="Y50" s="158">
        <f t="shared" si="88"/>
        <v>120934.07900583035</v>
      </c>
      <c r="Z50" s="158">
        <f t="shared" si="88"/>
        <v>129242.72189290443</v>
      </c>
      <c r="AA50" s="158">
        <f t="shared" si="88"/>
        <v>137697.2349691249</v>
      </c>
      <c r="AB50" s="158">
        <f t="shared" si="88"/>
        <v>146306.09079423148</v>
      </c>
      <c r="AC50" s="158">
        <f t="shared" si="88"/>
        <v>155078.99224802334</v>
      </c>
      <c r="AD50" s="158">
        <f t="shared" si="88"/>
        <v>164027.05707836768</v>
      </c>
      <c r="AE50" s="158">
        <f t="shared" si="88"/>
        <v>173163.03013141017</v>
      </c>
      <c r="AF50" s="158">
        <f t="shared" si="88"/>
        <v>182501.52741631668</v>
      </c>
      <c r="AG50" s="158">
        <f t="shared" si="88"/>
        <v>192059.3167797263</v>
      </c>
      <c r="AH50" s="158">
        <f t="shared" si="88"/>
        <v>201855.64068137208</v>
      </c>
      <c r="AI50" s="158">
        <f t="shared" si="88"/>
        <v>213227.99358962293</v>
      </c>
      <c r="AJ50" s="158">
        <f t="shared" si="88"/>
        <v>224903.74567663006</v>
      </c>
      <c r="AK50" s="158">
        <f t="shared" si="88"/>
        <v>236912.07554539398</v>
      </c>
      <c r="AL50" s="158">
        <f t="shared" si="88"/>
        <v>248924.56456407235</v>
      </c>
      <c r="AM50" s="158">
        <f t="shared" si="88"/>
        <v>261323.55844808303</v>
      </c>
      <c r="AN50" s="158">
        <f t="shared" si="88"/>
        <v>274152.68285686057</v>
      </c>
      <c r="AO50" s="158">
        <f t="shared" si="88"/>
        <v>287462.06835740921</v>
      </c>
      <c r="AP50" s="158">
        <f t="shared" si="88"/>
        <v>301309.32616043789</v>
      </c>
      <c r="AQ50" s="158">
        <f t="shared" si="88"/>
        <v>315760.67021691654</v>
      </c>
      <c r="AR50" s="158">
        <f t="shared" si="88"/>
        <v>330892.20762911486</v>
      </c>
      <c r="AS50" s="158">
        <f t="shared" si="88"/>
        <v>346791.42262329755</v>
      </c>
      <c r="AT50" s="158">
        <f t="shared" si="88"/>
        <v>363558.88311832317</v>
      </c>
      <c r="AU50" s="158">
        <f t="shared" si="88"/>
        <v>365676.06994149584</v>
      </c>
    </row>
    <row r="51" spans="1:47" s="151" customFormat="1" outlineLevel="1" x14ac:dyDescent="0.25">
      <c r="A51" s="151" t="s">
        <v>384</v>
      </c>
      <c r="B51" s="158">
        <f t="shared" ref="B51:AU51" si="89">B45*$I$26</f>
        <v>0</v>
      </c>
      <c r="C51" s="158">
        <f t="shared" si="89"/>
        <v>0</v>
      </c>
      <c r="D51" s="158">
        <f t="shared" si="89"/>
        <v>0</v>
      </c>
      <c r="E51" s="158">
        <f t="shared" si="89"/>
        <v>0</v>
      </c>
      <c r="F51" s="158">
        <f t="shared" si="89"/>
        <v>0</v>
      </c>
      <c r="G51" s="158">
        <f t="shared" si="89"/>
        <v>0</v>
      </c>
      <c r="H51" s="158">
        <f t="shared" si="89"/>
        <v>27293.471440506459</v>
      </c>
      <c r="I51" s="158">
        <f t="shared" si="89"/>
        <v>30395.462469944803</v>
      </c>
      <c r="J51" s="158">
        <f t="shared" si="89"/>
        <v>33558.805515716682</v>
      </c>
      <c r="K51" s="158">
        <f t="shared" si="89"/>
        <v>39271.38234663703</v>
      </c>
      <c r="L51" s="158">
        <f t="shared" si="89"/>
        <v>45100.809801669187</v>
      </c>
      <c r="M51" s="158">
        <f t="shared" si="89"/>
        <v>51048.695615471508</v>
      </c>
      <c r="N51" s="158">
        <f t="shared" si="89"/>
        <v>56897.45082383199</v>
      </c>
      <c r="O51" s="158">
        <f t="shared" si="89"/>
        <v>62846.673809539796</v>
      </c>
      <c r="P51" s="158">
        <f t="shared" si="89"/>
        <v>68898.445254022314</v>
      </c>
      <c r="Q51" s="158">
        <f t="shared" si="89"/>
        <v>75055.112306531752</v>
      </c>
      <c r="R51" s="158">
        <f t="shared" si="89"/>
        <v>81319.32855431865</v>
      </c>
      <c r="S51" s="158">
        <f t="shared" si="89"/>
        <v>87694.099988331785</v>
      </c>
      <c r="T51" s="158">
        <f t="shared" si="89"/>
        <v>94182.83786377286</v>
      </c>
      <c r="U51" s="158">
        <f t="shared" si="89"/>
        <v>100789.4194897345</v>
      </c>
      <c r="V51" s="158">
        <f t="shared" si="89"/>
        <v>107518.25813728376</v>
      </c>
      <c r="W51" s="158">
        <f t="shared" si="89"/>
        <v>116850.96174576179</v>
      </c>
      <c r="X51" s="158">
        <f t="shared" si="89"/>
        <v>126359.58676623744</v>
      </c>
      <c r="Y51" s="158">
        <f t="shared" si="89"/>
        <v>136050.83888155915</v>
      </c>
      <c r="Z51" s="158">
        <f t="shared" si="89"/>
        <v>145398.06212951749</v>
      </c>
      <c r="AA51" s="158">
        <f t="shared" si="89"/>
        <v>154909.38934026551</v>
      </c>
      <c r="AB51" s="158">
        <f t="shared" si="89"/>
        <v>164594.35214351039</v>
      </c>
      <c r="AC51" s="158">
        <f t="shared" si="89"/>
        <v>174463.86627902623</v>
      </c>
      <c r="AD51" s="158">
        <f t="shared" si="89"/>
        <v>184530.43921316366</v>
      </c>
      <c r="AE51" s="158">
        <f t="shared" si="89"/>
        <v>194808.4088978364</v>
      </c>
      <c r="AF51" s="158">
        <f t="shared" si="89"/>
        <v>205314.21834335625</v>
      </c>
      <c r="AG51" s="158">
        <f t="shared" si="89"/>
        <v>216066.73137719207</v>
      </c>
      <c r="AH51" s="158">
        <f t="shared" si="89"/>
        <v>227087.59576654361</v>
      </c>
      <c r="AI51" s="158">
        <f t="shared" si="89"/>
        <v>239881.49278832576</v>
      </c>
      <c r="AJ51" s="158">
        <f t="shared" si="89"/>
        <v>253016.7138862088</v>
      </c>
      <c r="AK51" s="158">
        <f t="shared" si="89"/>
        <v>266526.08498856821</v>
      </c>
      <c r="AL51" s="158">
        <f t="shared" si="89"/>
        <v>280040.13513458136</v>
      </c>
      <c r="AM51" s="158">
        <f t="shared" si="89"/>
        <v>293989.0032540934</v>
      </c>
      <c r="AN51" s="158">
        <f t="shared" si="89"/>
        <v>308421.76821396808</v>
      </c>
      <c r="AO51" s="158">
        <f t="shared" si="89"/>
        <v>323394.82690208527</v>
      </c>
      <c r="AP51" s="158">
        <f t="shared" si="89"/>
        <v>338972.99193049257</v>
      </c>
      <c r="AQ51" s="158">
        <f t="shared" si="89"/>
        <v>355230.75399403111</v>
      </c>
      <c r="AR51" s="158">
        <f t="shared" si="89"/>
        <v>372253.73358275421</v>
      </c>
      <c r="AS51" s="158">
        <f t="shared" si="89"/>
        <v>390140.3504512097</v>
      </c>
      <c r="AT51" s="158">
        <f t="shared" si="89"/>
        <v>409003.74350811355</v>
      </c>
      <c r="AU51" s="158">
        <f t="shared" si="89"/>
        <v>411385.57868418272</v>
      </c>
    </row>
    <row r="52" spans="1:47" s="151" customFormat="1" outlineLevel="1" x14ac:dyDescent="0.25">
      <c r="A52" s="151" t="s">
        <v>403</v>
      </c>
      <c r="B52" s="158">
        <f t="shared" ref="B52:AU52" si="90">B46*$I$27</f>
        <v>0</v>
      </c>
      <c r="C52" s="158">
        <f t="shared" si="90"/>
        <v>0</v>
      </c>
      <c r="D52" s="158">
        <f t="shared" si="90"/>
        <v>0</v>
      </c>
      <c r="E52" s="158">
        <f t="shared" si="90"/>
        <v>0</v>
      </c>
      <c r="F52" s="158">
        <f t="shared" si="90"/>
        <v>0</v>
      </c>
      <c r="G52" s="158">
        <f t="shared" si="90"/>
        <v>0</v>
      </c>
      <c r="H52" s="158">
        <f t="shared" si="90"/>
        <v>30000</v>
      </c>
      <c r="I52" s="158">
        <f t="shared" si="90"/>
        <v>30000</v>
      </c>
      <c r="J52" s="158">
        <f t="shared" si="90"/>
        <v>30000</v>
      </c>
      <c r="K52" s="158">
        <f t="shared" si="90"/>
        <v>30000</v>
      </c>
      <c r="L52" s="158">
        <f t="shared" si="90"/>
        <v>45000</v>
      </c>
      <c r="M52" s="158">
        <f t="shared" si="90"/>
        <v>45000</v>
      </c>
      <c r="N52" s="158">
        <f t="shared" si="90"/>
        <v>45000</v>
      </c>
      <c r="O52" s="158">
        <f t="shared" si="90"/>
        <v>45000</v>
      </c>
      <c r="P52" s="158">
        <f t="shared" si="90"/>
        <v>60000</v>
      </c>
      <c r="Q52" s="158">
        <f t="shared" si="90"/>
        <v>60000</v>
      </c>
      <c r="R52" s="158">
        <f t="shared" si="90"/>
        <v>75000</v>
      </c>
      <c r="S52" s="158">
        <f t="shared" si="90"/>
        <v>75000</v>
      </c>
      <c r="T52" s="158">
        <f t="shared" si="90"/>
        <v>75000</v>
      </c>
      <c r="U52" s="158">
        <f t="shared" si="90"/>
        <v>90000</v>
      </c>
      <c r="V52" s="158">
        <f t="shared" si="90"/>
        <v>90000</v>
      </c>
      <c r="W52" s="158">
        <f t="shared" si="90"/>
        <v>90000</v>
      </c>
      <c r="X52" s="158">
        <f t="shared" si="90"/>
        <v>105000</v>
      </c>
      <c r="Y52" s="158">
        <f t="shared" si="90"/>
        <v>120000</v>
      </c>
      <c r="Z52" s="158">
        <f t="shared" si="90"/>
        <v>120000</v>
      </c>
      <c r="AA52" s="158">
        <f t="shared" si="90"/>
        <v>135000</v>
      </c>
      <c r="AB52" s="158">
        <f t="shared" si="90"/>
        <v>135000</v>
      </c>
      <c r="AC52" s="158">
        <f t="shared" si="90"/>
        <v>150000</v>
      </c>
      <c r="AD52" s="158">
        <f t="shared" si="90"/>
        <v>150000</v>
      </c>
      <c r="AE52" s="158">
        <f t="shared" si="90"/>
        <v>165000</v>
      </c>
      <c r="AF52" s="158">
        <f t="shared" si="90"/>
        <v>165000</v>
      </c>
      <c r="AG52" s="158">
        <f t="shared" si="90"/>
        <v>180000</v>
      </c>
      <c r="AH52" s="158">
        <f t="shared" si="90"/>
        <v>195000</v>
      </c>
      <c r="AI52" s="158">
        <f t="shared" si="90"/>
        <v>195000</v>
      </c>
      <c r="AJ52" s="158">
        <f t="shared" si="90"/>
        <v>210000</v>
      </c>
      <c r="AK52" s="158">
        <f t="shared" si="90"/>
        <v>225000</v>
      </c>
      <c r="AL52" s="158">
        <f t="shared" si="90"/>
        <v>240000</v>
      </c>
      <c r="AM52" s="158">
        <f t="shared" si="90"/>
        <v>240000</v>
      </c>
      <c r="AN52" s="158">
        <f t="shared" si="90"/>
        <v>255000</v>
      </c>
      <c r="AO52" s="158">
        <f t="shared" si="90"/>
        <v>270000</v>
      </c>
      <c r="AP52" s="158">
        <f t="shared" si="90"/>
        <v>285000</v>
      </c>
      <c r="AQ52" s="158">
        <f t="shared" si="90"/>
        <v>300000</v>
      </c>
      <c r="AR52" s="158">
        <f t="shared" si="90"/>
        <v>315000</v>
      </c>
      <c r="AS52" s="158">
        <f t="shared" si="90"/>
        <v>330000</v>
      </c>
      <c r="AT52" s="158">
        <f t="shared" si="90"/>
        <v>345000</v>
      </c>
      <c r="AU52" s="158">
        <f t="shared" si="90"/>
        <v>345000</v>
      </c>
    </row>
    <row r="53" spans="1:47" s="151" customFormat="1" x14ac:dyDescent="0.25">
      <c r="A53" s="228" t="s">
        <v>408</v>
      </c>
      <c r="B53" s="227">
        <f>SUM(B49:B52)</f>
        <v>0</v>
      </c>
      <c r="C53" s="227">
        <f t="shared" ref="C53:M53" si="91">SUM(C49:C52)</f>
        <v>0</v>
      </c>
      <c r="D53" s="227">
        <f t="shared" si="91"/>
        <v>0</v>
      </c>
      <c r="E53" s="227">
        <f t="shared" si="91"/>
        <v>0</v>
      </c>
      <c r="F53" s="227">
        <f t="shared" si="91"/>
        <v>0</v>
      </c>
      <c r="G53" s="227">
        <f t="shared" si="91"/>
        <v>0</v>
      </c>
      <c r="H53" s="227">
        <f t="shared" si="91"/>
        <v>83828.790896554405</v>
      </c>
      <c r="I53" s="227">
        <f t="shared" si="91"/>
        <v>89946.606537946704</v>
      </c>
      <c r="J53" s="227">
        <f t="shared" si="91"/>
        <v>96185.42198933012</v>
      </c>
      <c r="K53" s="227">
        <f t="shared" si="91"/>
        <v>107451.89296142303</v>
      </c>
      <c r="L53" s="227">
        <f t="shared" si="91"/>
        <v>133948.8193310698</v>
      </c>
      <c r="M53" s="227">
        <f t="shared" si="91"/>
        <v>145679.37190829104</v>
      </c>
      <c r="N53" s="227">
        <f t="shared" ref="N53" si="92">SUM(N49:N52)</f>
        <v>157214.41690255754</v>
      </c>
      <c r="O53" s="227">
        <f t="shared" ref="O53" si="93">SUM(O49:O52)</f>
        <v>168947.6066799257</v>
      </c>
      <c r="P53" s="227">
        <f t="shared" ref="P53" si="94">SUM(P49:P52)</f>
        <v>195883.04480654403</v>
      </c>
      <c r="Q53" s="227">
        <f t="shared" ref="Q53" si="95">SUM(Q49:Q52)</f>
        <v>208025.36038232653</v>
      </c>
      <c r="R53" s="227">
        <f t="shared" ref="R53" si="96">SUM(R49:R52)</f>
        <v>235379.78687101734</v>
      </c>
      <c r="S53" s="227">
        <f t="shared" ref="S53" si="97">SUM(S49:S52)</f>
        <v>247952.25275476548</v>
      </c>
      <c r="T53" s="227">
        <f t="shared" ref="T53" si="98">SUM(T49:T52)</f>
        <v>260749.48578688537</v>
      </c>
      <c r="U53" s="227">
        <f t="shared" ref="U53" si="99">SUM(U49:U52)</f>
        <v>288779.13288253197</v>
      </c>
      <c r="V53" s="227">
        <f t="shared" ref="V53" si="100">SUM(V49:V52)</f>
        <v>302049.8979929763</v>
      </c>
      <c r="W53" s="227">
        <f t="shared" ref="W53" si="101">SUM(W49:W52)</f>
        <v>320456.06344303017</v>
      </c>
      <c r="X53" s="227">
        <f t="shared" ref="X53" si="102">SUM(X49:X52)</f>
        <v>354209.18501119054</v>
      </c>
      <c r="Y53" s="227">
        <f t="shared" ref="Y53" si="103">SUM(Y49:Y52)</f>
        <v>388322.48779418611</v>
      </c>
      <c r="Z53" s="227">
        <f t="shared" ref="Z53" si="104">SUM(Z49:Z52)</f>
        <v>406757.28919988172</v>
      </c>
      <c r="AA53" s="227">
        <f t="shared" ref="AA53" si="105">SUM(AA49:AA52)</f>
        <v>440515.74008774583</v>
      </c>
      <c r="AB53" s="227">
        <f t="shared" ref="AB53" si="106">SUM(AB49:AB52)</f>
        <v>459616.6389497011</v>
      </c>
      <c r="AC53" s="227">
        <f t="shared" ref="AC53" si="107">SUM(AC49:AC52)</f>
        <v>494081.51405030175</v>
      </c>
      <c r="AD53" s="227">
        <f t="shared" ref="AD53" si="108">SUM(AD49:AD52)</f>
        <v>513935.03289262834</v>
      </c>
      <c r="AE53" s="227">
        <f t="shared" ref="AE53" si="109">SUM(AE49:AE52)</f>
        <v>549205.47310406622</v>
      </c>
      <c r="AF53" s="227">
        <f t="shared" ref="AF53" si="110">SUM(AF49:AF52)</f>
        <v>569925.26395495259</v>
      </c>
      <c r="AG53" s="227">
        <f t="shared" ref="AG53" si="111">SUM(AG49:AG52)</f>
        <v>606131.60910501773</v>
      </c>
      <c r="AH53" s="227">
        <f t="shared" ref="AH53" si="112">SUM(AH49:AH52)</f>
        <v>642867.20276179432</v>
      </c>
      <c r="AI53" s="227">
        <f t="shared" ref="AI53" si="113">SUM(AI49:AI52)</f>
        <v>668099.61077697587</v>
      </c>
      <c r="AJ53" s="227">
        <f t="shared" ref="AJ53" si="114">SUM(AJ49:AJ52)</f>
        <v>709005.185720023</v>
      </c>
      <c r="AK53" s="227">
        <f t="shared" ref="AK53" si="115">SUM(AK49:AK52)</f>
        <v>750648.66761634289</v>
      </c>
      <c r="AL53" s="227">
        <f t="shared" ref="AL53" si="116">SUM(AL49:AL52)</f>
        <v>792301.37762653548</v>
      </c>
      <c r="AM53" s="227">
        <f t="shared" ref="AM53" si="117">SUM(AM49:AM52)</f>
        <v>819811.64530668419</v>
      </c>
      <c r="AN53" s="227">
        <f t="shared" ref="AN53" si="118">SUM(AN49:AN52)</f>
        <v>863276.26508865925</v>
      </c>
      <c r="AO53" s="227">
        <f t="shared" ref="AO53" si="119">SUM(AO49:AO52)</f>
        <v>907806.46416800166</v>
      </c>
      <c r="AP53" s="227">
        <f t="shared" ref="AP53" si="120">SUM(AP49:AP52)</f>
        <v>953530.06741847144</v>
      </c>
      <c r="AQ53" s="227">
        <f t="shared" ref="AQ53" si="121">SUM(AQ49:AQ52)</f>
        <v>1000593.9870437835</v>
      </c>
      <c r="AR53" s="227">
        <f t="shared" ref="AR53" si="122">SUM(AR49:AR52)</f>
        <v>1049167.0856770985</v>
      </c>
      <c r="AS53" s="227">
        <f t="shared" ref="AS53" si="123">SUM(AS49:AS52)</f>
        <v>1099443.4689454413</v>
      </c>
      <c r="AT53" s="227">
        <f t="shared" ref="AT53" si="124">SUM(AT49:AT52)</f>
        <v>1151646.2719187795</v>
      </c>
      <c r="AU53" s="227">
        <f t="shared" ref="AU53" si="125">SUM(AU49:AU52)</f>
        <v>1156343.7801826939</v>
      </c>
    </row>
    <row r="54" spans="1:47" s="151" customFormat="1" ht="17" thickBot="1" x14ac:dyDescent="0.3">
      <c r="B54" s="155"/>
    </row>
    <row r="55" spans="1:47" x14ac:dyDescent="0.25">
      <c r="A55" s="113"/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</row>
    <row r="56" spans="1:47" s="151" customFormat="1" x14ac:dyDescent="0.25">
      <c r="A56" s="9" t="s">
        <v>55</v>
      </c>
      <c r="B56" s="62">
        <f>B15</f>
        <v>44287</v>
      </c>
      <c r="C56" s="62">
        <f>B56+31</f>
        <v>44318</v>
      </c>
      <c r="D56" s="62">
        <f t="shared" ref="D56:M56" si="126">C56+31</f>
        <v>44349</v>
      </c>
      <c r="E56" s="62">
        <f t="shared" si="126"/>
        <v>44380</v>
      </c>
      <c r="F56" s="62">
        <f t="shared" si="126"/>
        <v>44411</v>
      </c>
      <c r="G56" s="62">
        <f t="shared" si="126"/>
        <v>44442</v>
      </c>
      <c r="H56" s="62">
        <f t="shared" si="126"/>
        <v>44473</v>
      </c>
      <c r="I56" s="62">
        <f t="shared" si="126"/>
        <v>44504</v>
      </c>
      <c r="J56" s="62">
        <f t="shared" si="126"/>
        <v>44535</v>
      </c>
      <c r="K56" s="62">
        <f t="shared" si="126"/>
        <v>44566</v>
      </c>
      <c r="L56" s="62">
        <f t="shared" si="126"/>
        <v>44597</v>
      </c>
      <c r="M56" s="62">
        <f t="shared" si="126"/>
        <v>44628</v>
      </c>
      <c r="N56" s="62">
        <f t="shared" ref="N56:AU56" si="127">M56+31</f>
        <v>44659</v>
      </c>
      <c r="O56" s="62">
        <f t="shared" si="127"/>
        <v>44690</v>
      </c>
      <c r="P56" s="62">
        <f t="shared" si="127"/>
        <v>44721</v>
      </c>
      <c r="Q56" s="62">
        <f t="shared" si="127"/>
        <v>44752</v>
      </c>
      <c r="R56" s="62">
        <f t="shared" si="127"/>
        <v>44783</v>
      </c>
      <c r="S56" s="62">
        <f t="shared" si="127"/>
        <v>44814</v>
      </c>
      <c r="T56" s="62">
        <f t="shared" si="127"/>
        <v>44845</v>
      </c>
      <c r="U56" s="62">
        <f t="shared" si="127"/>
        <v>44876</v>
      </c>
      <c r="V56" s="62">
        <f t="shared" si="127"/>
        <v>44907</v>
      </c>
      <c r="W56" s="62">
        <f t="shared" si="127"/>
        <v>44938</v>
      </c>
      <c r="X56" s="62">
        <f t="shared" si="127"/>
        <v>44969</v>
      </c>
      <c r="Y56" s="62">
        <f t="shared" si="127"/>
        <v>45000</v>
      </c>
      <c r="Z56" s="62">
        <f t="shared" si="127"/>
        <v>45031</v>
      </c>
      <c r="AA56" s="62">
        <f t="shared" si="127"/>
        <v>45062</v>
      </c>
      <c r="AB56" s="62">
        <f t="shared" si="127"/>
        <v>45093</v>
      </c>
      <c r="AC56" s="62">
        <f t="shared" si="127"/>
        <v>45124</v>
      </c>
      <c r="AD56" s="62">
        <f t="shared" si="127"/>
        <v>45155</v>
      </c>
      <c r="AE56" s="62">
        <f t="shared" si="127"/>
        <v>45186</v>
      </c>
      <c r="AF56" s="62">
        <f t="shared" si="127"/>
        <v>45217</v>
      </c>
      <c r="AG56" s="62">
        <f t="shared" si="127"/>
        <v>45248</v>
      </c>
      <c r="AH56" s="62">
        <f t="shared" si="127"/>
        <v>45279</v>
      </c>
      <c r="AI56" s="62">
        <f t="shared" si="127"/>
        <v>45310</v>
      </c>
      <c r="AJ56" s="62">
        <f t="shared" si="127"/>
        <v>45341</v>
      </c>
      <c r="AK56" s="62">
        <f t="shared" si="127"/>
        <v>45372</v>
      </c>
      <c r="AL56" s="62">
        <f t="shared" si="127"/>
        <v>45403</v>
      </c>
      <c r="AM56" s="62">
        <f t="shared" si="127"/>
        <v>45434</v>
      </c>
      <c r="AN56" s="62">
        <f t="shared" si="127"/>
        <v>45465</v>
      </c>
      <c r="AO56" s="62">
        <f t="shared" si="127"/>
        <v>45496</v>
      </c>
      <c r="AP56" s="62">
        <f t="shared" si="127"/>
        <v>45527</v>
      </c>
      <c r="AQ56" s="62">
        <f t="shared" si="127"/>
        <v>45558</v>
      </c>
      <c r="AR56" s="62">
        <f t="shared" si="127"/>
        <v>45589</v>
      </c>
      <c r="AS56" s="62">
        <f t="shared" si="127"/>
        <v>45620</v>
      </c>
      <c r="AT56" s="62">
        <f t="shared" si="127"/>
        <v>45651</v>
      </c>
      <c r="AU56" s="62">
        <f t="shared" si="127"/>
        <v>45682</v>
      </c>
    </row>
    <row r="57" spans="1:47" s="151" customFormat="1" outlineLevel="1" x14ac:dyDescent="0.25">
      <c r="A57" s="18" t="s">
        <v>359</v>
      </c>
      <c r="B57" s="158">
        <f>IF($C$16=1,$F$13,IF($C$16=2,$F$13/2,IF($C$16=3,$F$13/3,IF($C$16=4,$F$13/4,IF($C$16=5,$F$13/5,IF($C$16=6,$F$13/6,IF($C$16=7,$F$13/7,IF($C$16=8,$F$13/8,""))))))))</f>
        <v>22290</v>
      </c>
      <c r="C57" s="158">
        <f>IF($C$16=2,$F$13/2,IF($C$16=3,$F$13/3,IF($C$16=4,$F$13/4,IF($C$16=5,$F$13/5,IF($C$16=6,$F$13/6,IF($C$16=7,$F$13/7,IF($C$16=8,$F$13/8,"0")))))))</f>
        <v>22290</v>
      </c>
      <c r="D57" s="158">
        <f>IF($C$16=3,$F$13/3,IF($C$16=4,$F$13/4,IF($C$16=5,$F$13/5,IF($C$16=6,$F$13/6,IF($C$16=7,$F$13/7,IF($C$16=8,$F$13/8,"0"))))))</f>
        <v>22290</v>
      </c>
      <c r="E57" s="158">
        <f>IF($C$16=4,$F$13/4,IF($C$16=5,$F$13/5,IF($C$16=6,$F$13/6,IF($C$16=7,$F$13/7,IF($C$16=8,$F$13/8,"0")))))</f>
        <v>22290</v>
      </c>
      <c r="F57" s="158" t="str">
        <f>IF($C$16=5,$F$13/5,IF($C$16=6,$F$13/6,IF($C$16=7,$F$13/7,IF($C$16=8,$F$13/8,"0"))))</f>
        <v>0</v>
      </c>
      <c r="G57" s="158" t="str">
        <f>IF($C$16=5,$F$13/5,IF($C$16=6,$F$13/6,IF($C$16=7,$F$13/7,IF($C$16=8,$F$13/8,"0"))))</f>
        <v>0</v>
      </c>
      <c r="H57" s="539" t="str">
        <f>IF($C$16=7,$F$13/7,IF($C$16=8,$F$13/8,"0"))</f>
        <v>0</v>
      </c>
      <c r="I57" s="539" t="str">
        <f>IFERROR(IF($C$16=7,$F$13/7,IF($C$16=8,$F$13/8,"0")),"0")</f>
        <v>0</v>
      </c>
      <c r="J57" s="539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</row>
    <row r="58" spans="1:47" s="151" customFormat="1" outlineLevel="1" x14ac:dyDescent="0.25">
      <c r="A58" s="18" t="s">
        <v>360</v>
      </c>
      <c r="B58" s="230"/>
      <c r="C58" s="231" t="b">
        <f>IF(C57="",IF($C$19=1,$M$13,IF($C$19=2,$M$13/2,IF($C$19=3,$M$13/3,IF($C$19=4,$M$13/4,IF($C$19=5,$M$13/5))))))</f>
        <v>0</v>
      </c>
      <c r="D58" s="231" t="b">
        <f>IF(C58=M13,0,IF(D57="",IF($C$19=1,$M$13,IF($C$19=2,$M$13/2,IF($C$19=3,$M$13/3,IF($C$19=4,$M$13/4,IF($C$19=5,$M$13/5)))))))</f>
        <v>0</v>
      </c>
      <c r="E58" s="231" t="b">
        <f>IF(SUM($C$58:D58)=$M$13,0,IF(E57="",IF($C$19=1,$M$13,IF($C$19=2,$M$13/2,IF($C$19=3,$M$13/3,IF($C$19=4,$M$13/4,IF($C$19=5,$M$13/5)))))))</f>
        <v>0</v>
      </c>
      <c r="F58" s="231">
        <f>IF(SUM($C$58:E58)=$M$13,0,IF(F57="0",IF($C$19=1,$M$13,IF($C$19=2,$M$13/2,IF($C$19=3,$M$13/3,IF($C$19=4,$M$13/4,IF($C$19=5,$M$13/5)))))))</f>
        <v>9885</v>
      </c>
      <c r="G58" s="231">
        <f>IF(SUM($C$58:F58)=$M$13,0,IF(G57="0",IF($C$19=1,$M$13,IF($C$19=2,$M$13/2,IF($C$19=3,$M$13/3,IF($C$19=4,$M$13/4,IF($C$19=5,$M$13/5)))))))</f>
        <v>9885</v>
      </c>
      <c r="H58" s="231">
        <f>IF(SUM($C$58:G58)=$M$13,0,IF(H57="0",IF($C$19=1,$M$13,IF($C$19=2,$M$13/2,IF($C$19=3,$M$13/3,IF($C$19=4,$M$13/4,IF($C$19=5,$M$13/5)))))))</f>
        <v>0</v>
      </c>
      <c r="I58" s="231">
        <f>IF(SUM($C$58:H58)=$M$13,0,IF(I57="0",IF($C$19=1,$M$13,IF($C$19=2,$M$13/2,IF($C$19=3,$M$13/3,IF($C$19=4,$M$13/4,IF($C$19=5,$M$13/5)))))))</f>
        <v>0</v>
      </c>
      <c r="J58" s="231">
        <f>IF(SUM($C$58:I58)=$M$13,0,IF(J57="0",IF($C$19=1,$M$13,IF($C$19=2,$M$13/2,IF($C$19=3,$M$13/3,IF($C$19=4,$M$13/4,IF($C$19=5,$M$13/5)))))))</f>
        <v>0</v>
      </c>
      <c r="K58" s="231">
        <f>IF(SUM($C$58:J58)=$M$13,0,IF(K57="0",IF($C$19=1,$M$13,IF($C$19=2,$M$13/2,IF($C$19=3,$M$13/3,IF($C$19=4,$M$13/4,IF($C$19=5,$M$13/5)))))))</f>
        <v>0</v>
      </c>
      <c r="L58" s="231">
        <f>IF(SUM($C$58:K58)=$M$13,0,IF(L57="0",IF($C$19=1,$M$13,IF($C$19=2,$M$13/2,IF($C$19=3,$M$13/3,IF($C$19=4,$M$13/4,IF($C$19=5,$M$13/5)))))))</f>
        <v>0</v>
      </c>
      <c r="M58" s="231">
        <f>IF(SUM($C$58:L58)=$M$13,0,IF(M57="0",IF($C$19=1,$M$13,IF($C$19=2,$M$13/2,IF($C$19=3,$M$13/3,IF($C$19=4,$M$13/4,IF($C$19=5,$M$13/5)))))))</f>
        <v>0</v>
      </c>
      <c r="N58" s="231">
        <f>IF(SUM($C$58:M58)=$M$13,0,IF(N57="0",IF($C$19=1,$M$13,IF($C$19=2,$M$13/2,IF($C$19=3,$M$13/3,IF($C$19=4,$M$13/4,IF($C$19=5,$M$13/5)))))))</f>
        <v>0</v>
      </c>
      <c r="O58" s="231">
        <f>IF(SUM($C$58:N58)=$M$13,0,IF(O57="0",IF($C$19=1,$M$13,IF($C$19=2,$M$13/2,IF($C$19=3,$M$13/3,IF($C$19=4,$M$13/4,IF($C$19=5,$M$13/5)))))))</f>
        <v>0</v>
      </c>
      <c r="P58" s="231">
        <f>IF(SUM($C$58:O58)=$M$13,0,IF(P57="0",IF($C$19=1,$M$13,IF($C$19=2,$M$13/2,IF($C$19=3,$M$13/3,IF($C$19=4,$M$13/4,IF($C$19=5,$M$13/5)))))))</f>
        <v>0</v>
      </c>
      <c r="Q58" s="231">
        <f>IF(SUM($C$58:P58)=$M$13,0,IF(Q57="0",IF($C$19=1,$M$13,IF($C$19=2,$M$13/2,IF($C$19=3,$M$13/3,IF($C$19=4,$M$13/4,IF($C$19=5,$M$13/5)))))))</f>
        <v>0</v>
      </c>
      <c r="R58" s="231">
        <f>IF(SUM($C$58:Q58)=$M$13,0,IF(R57="0",IF($C$19=1,$M$13,IF($C$19=2,$M$13/2,IF($C$19=3,$M$13/3,IF($C$19=4,$M$13/4,IF($C$19=5,$M$13/5)))))))</f>
        <v>0</v>
      </c>
      <c r="S58" s="231">
        <f>IF(SUM($C$58:R58)=$M$13,0,IF(S57="0",IF($C$19=1,$M$13,IF($C$19=2,$M$13/2,IF($C$19=3,$M$13/3,IF($C$19=4,$M$13/4,IF($C$19=5,$M$13/5)))))))</f>
        <v>0</v>
      </c>
      <c r="T58" s="231">
        <f>IF(SUM($C$58:S58)=$M$13,0,IF(T57="0",IF($C$19=1,$M$13,IF($C$19=2,$M$13/2,IF($C$19=3,$M$13/3,IF($C$19=4,$M$13/4,IF($C$19=5,$M$13/5)))))))</f>
        <v>0</v>
      </c>
      <c r="U58" s="231">
        <f>IF(SUM($C$58:T58)=$M$13,0,IF(U57="0",IF($C$19=1,$M$13,IF($C$19=2,$M$13/2,IF($C$19=3,$M$13/3,IF($C$19=4,$M$13/4,IF($C$19=5,$M$13/5)))))))</f>
        <v>0</v>
      </c>
      <c r="V58" s="231">
        <f>IF(SUM($C$58:U58)=$M$13,0,IF(V57="0",IF($C$19=1,$M$13,IF($C$19=2,$M$13/2,IF($C$19=3,$M$13/3,IF($C$19=4,$M$13/4,IF($C$19=5,$M$13/5)))))))</f>
        <v>0</v>
      </c>
      <c r="W58" s="231">
        <f>IF(SUM($C$58:V58)=$M$13,0,IF(W57="0",IF($C$19=1,$M$13,IF($C$19=2,$M$13/2,IF($C$19=3,$M$13/3,IF($C$19=4,$M$13/4,IF($C$19=5,$M$13/5)))))))</f>
        <v>0</v>
      </c>
      <c r="X58" s="231">
        <f>IF(SUM($C$58:W58)=$M$13,0,IF(X57="0",IF($C$19=1,$M$13,IF($C$19=2,$M$13/2,IF($C$19=3,$M$13/3,IF($C$19=4,$M$13/4,IF($C$19=5,$M$13/5)))))))</f>
        <v>0</v>
      </c>
      <c r="Y58" s="231">
        <f>IF(SUM($C$58:X58)=$M$13,0,IF(Y57="0",IF($C$19=1,$M$13,IF($C$19=2,$M$13/2,IF($C$19=3,$M$13/3,IF($C$19=4,$M$13/4,IF($C$19=5,$M$13/5)))))))</f>
        <v>0</v>
      </c>
      <c r="Z58" s="231">
        <f>IF(SUM($C$58:Y58)=$M$13,0,IF(Z57="0",IF($C$19=1,$M$13,IF($C$19=2,$M$13/2,IF($C$19=3,$M$13/3,IF($C$19=4,$M$13/4,IF($C$19=5,$M$13/5)))))))</f>
        <v>0</v>
      </c>
      <c r="AA58" s="231">
        <f>IF(SUM($C$58:Z58)=$M$13,0,IF(AA57="0",IF($C$19=1,$M$13,IF($C$19=2,$M$13/2,IF($C$19=3,$M$13/3,IF($C$19=4,$M$13/4,IF($C$19=5,$M$13/5)))))))</f>
        <v>0</v>
      </c>
      <c r="AB58" s="231">
        <f>IF(SUM($C$58:AA58)=$M$13,0,IF(AB57="0",IF($C$19=1,$M$13,IF($C$19=2,$M$13/2,IF($C$19=3,$M$13/3,IF($C$19=4,$M$13/4,IF($C$19=5,$M$13/5)))))))</f>
        <v>0</v>
      </c>
      <c r="AC58" s="231">
        <f>IF(SUM($C$58:AB58)=$M$13,0,IF(AC57="0",IF($C$19=1,$M$13,IF($C$19=2,$M$13/2,IF($C$19=3,$M$13/3,IF($C$19=4,$M$13/4,IF($C$19=5,$M$13/5)))))))</f>
        <v>0</v>
      </c>
      <c r="AD58" s="231">
        <f>IF(SUM($C$58:AC58)=$M$13,0,IF(AD57="0",IF($C$19=1,$M$13,IF($C$19=2,$M$13/2,IF($C$19=3,$M$13/3,IF($C$19=4,$M$13/4,IF($C$19=5,$M$13/5)))))))</f>
        <v>0</v>
      </c>
      <c r="AE58" s="231">
        <f>IF(SUM($C$58:AD58)=$M$13,0,IF(AE57="0",IF($C$19=1,$M$13,IF($C$19=2,$M$13/2,IF($C$19=3,$M$13/3,IF($C$19=4,$M$13/4,IF($C$19=5,$M$13/5)))))))</f>
        <v>0</v>
      </c>
      <c r="AF58" s="231">
        <f>IF(SUM($C$58:AE58)=$M$13,0,IF(AF57="0",IF($C$19=1,$M$13,IF($C$19=2,$M$13/2,IF($C$19=3,$M$13/3,IF($C$19=4,$M$13/4,IF($C$19=5,$M$13/5)))))))</f>
        <v>0</v>
      </c>
      <c r="AG58" s="231">
        <f>IF(SUM($C$58:AF58)=$M$13,0,IF(AG57="0",IF($C$19=1,$M$13,IF($C$19=2,$M$13/2,IF($C$19=3,$M$13/3,IF($C$19=4,$M$13/4,IF($C$19=5,$M$13/5)))))))</f>
        <v>0</v>
      </c>
      <c r="AH58" s="231">
        <f>IF(SUM($C$58:AG58)=$M$13,0,IF(AH57="0",IF($C$19=1,$M$13,IF($C$19=2,$M$13/2,IF($C$19=3,$M$13/3,IF($C$19=4,$M$13/4,IF($C$19=5,$M$13/5)))))))</f>
        <v>0</v>
      </c>
      <c r="AI58" s="231">
        <f>IF(SUM($C$58:AH58)=$M$13,0,IF(AI57="0",IF($C$19=1,$M$13,IF($C$19=2,$M$13/2,IF($C$19=3,$M$13/3,IF($C$19=4,$M$13/4,IF($C$19=5,$M$13/5)))))))</f>
        <v>0</v>
      </c>
      <c r="AJ58" s="231">
        <f>IF(SUM($C$58:AI58)=$M$13,0,IF(AJ57="0",IF($C$19=1,$M$13,IF($C$19=2,$M$13/2,IF($C$19=3,$M$13/3,IF($C$19=4,$M$13/4,IF($C$19=5,$M$13/5)))))))</f>
        <v>0</v>
      </c>
      <c r="AK58" s="231">
        <f>IF(SUM($C$58:AJ58)=$M$13,0,IF(AK57="0",IF($C$19=1,$M$13,IF($C$19=2,$M$13/2,IF($C$19=3,$M$13/3,IF($C$19=4,$M$13/4,IF($C$19=5,$M$13/5)))))))</f>
        <v>0</v>
      </c>
      <c r="AL58" s="231">
        <f>IF(SUM($C$58:AK58)=$M$13,0,IF(AL57="0",IF($C$19=1,$M$13,IF($C$19=2,$M$13/2,IF($C$19=3,$M$13/3,IF($C$19=4,$M$13/4,IF($C$19=5,$M$13/5)))))))</f>
        <v>0</v>
      </c>
      <c r="AM58" s="231">
        <f>IF(SUM($C$58:AL58)=$M$13,0,IF(AM57="0",IF($C$19=1,$M$13,IF($C$19=2,$M$13/2,IF($C$19=3,$M$13/3,IF($C$19=4,$M$13/4,IF($C$19=5,$M$13/5)))))))</f>
        <v>0</v>
      </c>
      <c r="AN58" s="231">
        <f>IF(SUM($C$58:AM58)=$M$13,0,IF(AN57="0",IF($C$19=1,$M$13,IF($C$19=2,$M$13/2,IF($C$19=3,$M$13/3,IF($C$19=4,$M$13/4,IF($C$19=5,$M$13/5)))))))</f>
        <v>0</v>
      </c>
      <c r="AO58" s="231">
        <f>IF(SUM($C$58:AN58)=$M$13,0,IF(AO57="0",IF($C$19=1,$M$13,IF($C$19=2,$M$13/2,IF($C$19=3,$M$13/3,IF($C$19=4,$M$13/4,IF($C$19=5,$M$13/5)))))))</f>
        <v>0</v>
      </c>
      <c r="AP58" s="231">
        <f>IF(SUM($C$58:AO58)=$M$13,0,IF(AP57="0",IF($C$19=1,$M$13,IF($C$19=2,$M$13/2,IF($C$19=3,$M$13/3,IF($C$19=4,$M$13/4,IF($C$19=5,$M$13/5)))))))</f>
        <v>0</v>
      </c>
      <c r="AQ58" s="231">
        <f>IF(SUM($C$58:AP58)=$M$13,0,IF(AQ57="0",IF($C$19=1,$M$13,IF($C$19=2,$M$13/2,IF($C$19=3,$M$13/3,IF($C$19=4,$M$13/4,IF($C$19=5,$M$13/5)))))))</f>
        <v>0</v>
      </c>
      <c r="AR58" s="231">
        <f>IF(SUM($C$58:AQ58)=$M$13,0,IF(AR57="0",IF($C$19=1,$M$13,IF($C$19=2,$M$13/2,IF($C$19=3,$M$13/3,IF($C$19=4,$M$13/4,IF($C$19=5,$M$13/5)))))))</f>
        <v>0</v>
      </c>
      <c r="AS58" s="231">
        <f>IF(SUM($C$58:AR58)=$M$13,0,IF(AS57="0",IF($C$19=1,$M$13,IF($C$19=2,$M$13/2,IF($C$19=3,$M$13/3,IF($C$19=4,$M$13/4,IF($C$19=5,$M$13/5)))))))</f>
        <v>0</v>
      </c>
      <c r="AT58" s="231">
        <f>IF(SUM($C$58:AS58)=$M$13,0,IF(AT57="0",IF($C$19=1,$M$13,IF($C$19=2,$M$13/2,IF($C$19=3,$M$13/3,IF($C$19=4,$M$13/4,IF($C$19=5,$M$13/5)))))))</f>
        <v>0</v>
      </c>
      <c r="AU58" s="231">
        <f>IF(SUM($C$58:AT58)=$M$13,0,IF(AU57="0",IF($C$19=1,$M$13,IF($C$19=2,$M$13/2,IF($C$19=3,$M$13/3,IF($C$19=4,$M$13/4,IF($C$19=5,$M$13/5)))))))</f>
        <v>0</v>
      </c>
    </row>
    <row r="59" spans="1:47" s="151" customFormat="1" outlineLevel="1" x14ac:dyDescent="0.25">
      <c r="A59" s="18" t="s">
        <v>467</v>
      </c>
      <c r="B59" s="299" t="str">
        <f>IF(SUM(B57:B58)&gt;0,"0",$I$20)</f>
        <v>0</v>
      </c>
      <c r="C59" s="299" t="str">
        <f t="shared" ref="C59:AU59" si="128">IF(SUM(C57:C58)&gt;0,"0",$I$20)</f>
        <v>0</v>
      </c>
      <c r="D59" s="299" t="str">
        <f t="shared" si="128"/>
        <v>0</v>
      </c>
      <c r="E59" s="299" t="str">
        <f t="shared" si="128"/>
        <v>0</v>
      </c>
      <c r="F59" s="299" t="str">
        <f t="shared" si="128"/>
        <v>0</v>
      </c>
      <c r="G59" s="299" t="str">
        <f t="shared" si="128"/>
        <v>0</v>
      </c>
      <c r="H59" s="299">
        <f t="shared" si="128"/>
        <v>10000</v>
      </c>
      <c r="I59" s="299">
        <f t="shared" si="128"/>
        <v>10000</v>
      </c>
      <c r="J59" s="299">
        <f t="shared" si="128"/>
        <v>10000</v>
      </c>
      <c r="K59" s="299">
        <f t="shared" si="128"/>
        <v>10000</v>
      </c>
      <c r="L59" s="299">
        <f t="shared" si="128"/>
        <v>10000</v>
      </c>
      <c r="M59" s="299">
        <f t="shared" si="128"/>
        <v>10000</v>
      </c>
      <c r="N59" s="299">
        <f t="shared" si="128"/>
        <v>10000</v>
      </c>
      <c r="O59" s="299">
        <f t="shared" si="128"/>
        <v>10000</v>
      </c>
      <c r="P59" s="299">
        <f t="shared" si="128"/>
        <v>10000</v>
      </c>
      <c r="Q59" s="299">
        <f t="shared" si="128"/>
        <v>10000</v>
      </c>
      <c r="R59" s="299">
        <f t="shared" si="128"/>
        <v>10000</v>
      </c>
      <c r="S59" s="299">
        <f t="shared" si="128"/>
        <v>10000</v>
      </c>
      <c r="T59" s="299">
        <f t="shared" si="128"/>
        <v>10000</v>
      </c>
      <c r="U59" s="299">
        <f t="shared" si="128"/>
        <v>10000</v>
      </c>
      <c r="V59" s="299">
        <f t="shared" si="128"/>
        <v>10000</v>
      </c>
      <c r="W59" s="299">
        <f t="shared" si="128"/>
        <v>10000</v>
      </c>
      <c r="X59" s="299">
        <f t="shared" si="128"/>
        <v>10000</v>
      </c>
      <c r="Y59" s="299">
        <f t="shared" si="128"/>
        <v>10000</v>
      </c>
      <c r="Z59" s="299">
        <f t="shared" si="128"/>
        <v>10000</v>
      </c>
      <c r="AA59" s="299">
        <f t="shared" si="128"/>
        <v>10000</v>
      </c>
      <c r="AB59" s="299">
        <f t="shared" si="128"/>
        <v>10000</v>
      </c>
      <c r="AC59" s="299">
        <f t="shared" si="128"/>
        <v>10000</v>
      </c>
      <c r="AD59" s="299">
        <f t="shared" si="128"/>
        <v>10000</v>
      </c>
      <c r="AE59" s="299">
        <f t="shared" si="128"/>
        <v>10000</v>
      </c>
      <c r="AF59" s="299">
        <f t="shared" si="128"/>
        <v>10000</v>
      </c>
      <c r="AG59" s="299">
        <f t="shared" si="128"/>
        <v>10000</v>
      </c>
      <c r="AH59" s="299">
        <f t="shared" si="128"/>
        <v>10000</v>
      </c>
      <c r="AI59" s="299">
        <f t="shared" si="128"/>
        <v>10000</v>
      </c>
      <c r="AJ59" s="299">
        <f t="shared" si="128"/>
        <v>10000</v>
      </c>
      <c r="AK59" s="299">
        <f t="shared" si="128"/>
        <v>10000</v>
      </c>
      <c r="AL59" s="299">
        <f t="shared" si="128"/>
        <v>10000</v>
      </c>
      <c r="AM59" s="299">
        <f t="shared" si="128"/>
        <v>10000</v>
      </c>
      <c r="AN59" s="299">
        <f t="shared" si="128"/>
        <v>10000</v>
      </c>
      <c r="AO59" s="299">
        <f t="shared" si="128"/>
        <v>10000</v>
      </c>
      <c r="AP59" s="299">
        <f t="shared" si="128"/>
        <v>10000</v>
      </c>
      <c r="AQ59" s="299">
        <f t="shared" si="128"/>
        <v>10000</v>
      </c>
      <c r="AR59" s="299">
        <f t="shared" si="128"/>
        <v>10000</v>
      </c>
      <c r="AS59" s="299">
        <f t="shared" si="128"/>
        <v>10000</v>
      </c>
      <c r="AT59" s="299">
        <f t="shared" si="128"/>
        <v>10000</v>
      </c>
      <c r="AU59" s="299">
        <f t="shared" si="128"/>
        <v>10000</v>
      </c>
    </row>
    <row r="60" spans="1:47" s="151" customFormat="1" outlineLevel="1" x14ac:dyDescent="0.25">
      <c r="A60" s="18" t="s">
        <v>364</v>
      </c>
      <c r="B60" s="158">
        <f>I16</f>
        <v>1000</v>
      </c>
      <c r="C60" s="194">
        <f>B60*(1+$I$17)</f>
        <v>1014.9999999999999</v>
      </c>
      <c r="D60" s="194">
        <f t="shared" ref="D60:M60" si="129">C60*(1+$I$17)</f>
        <v>1030.2249999999997</v>
      </c>
      <c r="E60" s="194">
        <f t="shared" si="129"/>
        <v>1045.6783749999995</v>
      </c>
      <c r="F60" s="194">
        <f t="shared" si="129"/>
        <v>1061.3635506249993</v>
      </c>
      <c r="G60" s="194">
        <f t="shared" si="129"/>
        <v>1077.2840038843742</v>
      </c>
      <c r="H60" s="194">
        <f t="shared" si="129"/>
        <v>1093.4432639426398</v>
      </c>
      <c r="I60" s="194">
        <f t="shared" si="129"/>
        <v>1109.8449129017793</v>
      </c>
      <c r="J60" s="194">
        <f t="shared" si="129"/>
        <v>1126.4925865953057</v>
      </c>
      <c r="K60" s="194">
        <f t="shared" si="129"/>
        <v>1143.3899753942353</v>
      </c>
      <c r="L60" s="194">
        <f t="shared" si="129"/>
        <v>1160.5408250251487</v>
      </c>
      <c r="M60" s="194">
        <f t="shared" si="129"/>
        <v>1177.9489374005259</v>
      </c>
      <c r="N60" s="194">
        <f t="shared" ref="N60:AU60" si="130">M60*(1+$I$17)</f>
        <v>1195.6181714615336</v>
      </c>
      <c r="O60" s="194">
        <f t="shared" si="130"/>
        <v>1213.5524440334566</v>
      </c>
      <c r="P60" s="194">
        <f t="shared" si="130"/>
        <v>1231.7557306939584</v>
      </c>
      <c r="Q60" s="194">
        <f t="shared" si="130"/>
        <v>1250.2320666543676</v>
      </c>
      <c r="R60" s="194">
        <f t="shared" si="130"/>
        <v>1268.9855476541829</v>
      </c>
      <c r="S60" s="194">
        <f t="shared" si="130"/>
        <v>1288.0203308689956</v>
      </c>
      <c r="T60" s="194">
        <f t="shared" si="130"/>
        <v>1307.3406358320306</v>
      </c>
      <c r="U60" s="194">
        <f t="shared" si="130"/>
        <v>1326.950745369511</v>
      </c>
      <c r="V60" s="194">
        <f t="shared" si="130"/>
        <v>1346.8550065500535</v>
      </c>
      <c r="W60" s="194">
        <f t="shared" si="130"/>
        <v>1367.0578316483043</v>
      </c>
      <c r="X60" s="194">
        <f t="shared" si="130"/>
        <v>1387.5636991230288</v>
      </c>
      <c r="Y60" s="194">
        <f t="shared" si="130"/>
        <v>1408.377154609874</v>
      </c>
      <c r="Z60" s="194">
        <f t="shared" si="130"/>
        <v>1429.5028119290218</v>
      </c>
      <c r="AA60" s="194">
        <f t="shared" si="130"/>
        <v>1450.945354107957</v>
      </c>
      <c r="AB60" s="194">
        <f t="shared" si="130"/>
        <v>1472.7095344195761</v>
      </c>
      <c r="AC60" s="194">
        <f t="shared" si="130"/>
        <v>1494.8001774358697</v>
      </c>
      <c r="AD60" s="194">
        <f t="shared" si="130"/>
        <v>1517.2221800974075</v>
      </c>
      <c r="AE60" s="194">
        <f t="shared" si="130"/>
        <v>1539.9805127988684</v>
      </c>
      <c r="AF60" s="194">
        <f t="shared" si="130"/>
        <v>1563.0802204908514</v>
      </c>
      <c r="AG60" s="194">
        <f t="shared" si="130"/>
        <v>1586.526423798214</v>
      </c>
      <c r="AH60" s="194">
        <f t="shared" si="130"/>
        <v>1610.324320155187</v>
      </c>
      <c r="AI60" s="194">
        <f t="shared" si="130"/>
        <v>1634.4791849575147</v>
      </c>
      <c r="AJ60" s="194">
        <f t="shared" si="130"/>
        <v>1658.9963727318773</v>
      </c>
      <c r="AK60" s="194">
        <f t="shared" si="130"/>
        <v>1683.8813183228553</v>
      </c>
      <c r="AL60" s="194">
        <f t="shared" si="130"/>
        <v>1709.1395380976981</v>
      </c>
      <c r="AM60" s="194">
        <f t="shared" si="130"/>
        <v>1734.7766311691635</v>
      </c>
      <c r="AN60" s="194">
        <f t="shared" si="130"/>
        <v>1760.7982806367008</v>
      </c>
      <c r="AO60" s="194">
        <f t="shared" si="130"/>
        <v>1787.2102548462512</v>
      </c>
      <c r="AP60" s="194">
        <f t="shared" si="130"/>
        <v>1814.0184086689449</v>
      </c>
      <c r="AQ60" s="194">
        <f t="shared" si="130"/>
        <v>1841.2286847989787</v>
      </c>
      <c r="AR60" s="194">
        <f t="shared" si="130"/>
        <v>1868.8471150709634</v>
      </c>
      <c r="AS60" s="194">
        <f t="shared" si="130"/>
        <v>1896.8798217970277</v>
      </c>
      <c r="AT60" s="194">
        <f t="shared" si="130"/>
        <v>1925.3330191239829</v>
      </c>
      <c r="AU60" s="194">
        <f t="shared" si="130"/>
        <v>1954.2130144108426</v>
      </c>
    </row>
    <row r="61" spans="1:47" s="151" customFormat="1" ht="17" outlineLevel="1" thickBot="1" x14ac:dyDescent="0.3">
      <c r="A61" s="18" t="s">
        <v>365</v>
      </c>
      <c r="B61" s="158">
        <f>B53*$B$30</f>
        <v>0</v>
      </c>
      <c r="C61" s="158">
        <f t="shared" ref="C61:M61" si="131">C53*$B$32</f>
        <v>0</v>
      </c>
      <c r="D61" s="158">
        <f t="shared" si="131"/>
        <v>0</v>
      </c>
      <c r="E61" s="158">
        <f t="shared" si="131"/>
        <v>0</v>
      </c>
      <c r="F61" s="158">
        <f t="shared" si="131"/>
        <v>0</v>
      </c>
      <c r="G61" s="158">
        <f t="shared" si="131"/>
        <v>0</v>
      </c>
      <c r="H61" s="158">
        <f t="shared" si="131"/>
        <v>0</v>
      </c>
      <c r="I61" s="158">
        <f t="shared" si="131"/>
        <v>0</v>
      </c>
      <c r="J61" s="158">
        <f t="shared" si="131"/>
        <v>0</v>
      </c>
      <c r="K61" s="158">
        <f t="shared" si="131"/>
        <v>0</v>
      </c>
      <c r="L61" s="158">
        <f t="shared" si="131"/>
        <v>0</v>
      </c>
      <c r="M61" s="158">
        <f t="shared" si="131"/>
        <v>0</v>
      </c>
      <c r="N61" s="158">
        <f t="shared" ref="N61:AU61" si="132">N53*$B$32</f>
        <v>0</v>
      </c>
      <c r="O61" s="158">
        <f t="shared" si="132"/>
        <v>0</v>
      </c>
      <c r="P61" s="158">
        <f t="shared" si="132"/>
        <v>0</v>
      </c>
      <c r="Q61" s="158">
        <f t="shared" si="132"/>
        <v>0</v>
      </c>
      <c r="R61" s="158">
        <f t="shared" si="132"/>
        <v>0</v>
      </c>
      <c r="S61" s="158">
        <f t="shared" si="132"/>
        <v>0</v>
      </c>
      <c r="T61" s="158">
        <f t="shared" si="132"/>
        <v>0</v>
      </c>
      <c r="U61" s="158">
        <f t="shared" si="132"/>
        <v>0</v>
      </c>
      <c r="V61" s="158">
        <f t="shared" si="132"/>
        <v>0</v>
      </c>
      <c r="W61" s="158">
        <f t="shared" si="132"/>
        <v>0</v>
      </c>
      <c r="X61" s="158">
        <f t="shared" si="132"/>
        <v>0</v>
      </c>
      <c r="Y61" s="158">
        <f t="shared" si="132"/>
        <v>0</v>
      </c>
      <c r="Z61" s="158">
        <f t="shared" si="132"/>
        <v>0</v>
      </c>
      <c r="AA61" s="158">
        <f t="shared" si="132"/>
        <v>0</v>
      </c>
      <c r="AB61" s="158">
        <f t="shared" si="132"/>
        <v>0</v>
      </c>
      <c r="AC61" s="158">
        <f t="shared" si="132"/>
        <v>0</v>
      </c>
      <c r="AD61" s="158">
        <f t="shared" si="132"/>
        <v>0</v>
      </c>
      <c r="AE61" s="158">
        <f t="shared" si="132"/>
        <v>0</v>
      </c>
      <c r="AF61" s="158">
        <f t="shared" si="132"/>
        <v>0</v>
      </c>
      <c r="AG61" s="158">
        <f t="shared" si="132"/>
        <v>0</v>
      </c>
      <c r="AH61" s="158">
        <f t="shared" si="132"/>
        <v>0</v>
      </c>
      <c r="AI61" s="158">
        <f t="shared" si="132"/>
        <v>0</v>
      </c>
      <c r="AJ61" s="158">
        <f t="shared" si="132"/>
        <v>0</v>
      </c>
      <c r="AK61" s="158">
        <f t="shared" si="132"/>
        <v>0</v>
      </c>
      <c r="AL61" s="158">
        <f t="shared" si="132"/>
        <v>0</v>
      </c>
      <c r="AM61" s="158">
        <f t="shared" si="132"/>
        <v>0</v>
      </c>
      <c r="AN61" s="158">
        <f t="shared" si="132"/>
        <v>0</v>
      </c>
      <c r="AO61" s="158">
        <f t="shared" si="132"/>
        <v>0</v>
      </c>
      <c r="AP61" s="158">
        <f t="shared" si="132"/>
        <v>0</v>
      </c>
      <c r="AQ61" s="158">
        <f t="shared" si="132"/>
        <v>0</v>
      </c>
      <c r="AR61" s="158">
        <f t="shared" si="132"/>
        <v>0</v>
      </c>
      <c r="AS61" s="158">
        <f t="shared" si="132"/>
        <v>0</v>
      </c>
      <c r="AT61" s="158">
        <f t="shared" si="132"/>
        <v>0</v>
      </c>
      <c r="AU61" s="158">
        <f t="shared" si="132"/>
        <v>0</v>
      </c>
    </row>
    <row r="62" spans="1:47" x14ac:dyDescent="0.25">
      <c r="A62" s="113" t="s">
        <v>248</v>
      </c>
      <c r="B62" s="191">
        <f>SUM(B57:B61)</f>
        <v>23290</v>
      </c>
      <c r="C62" s="191">
        <f t="shared" ref="C62:M62" si="133">SUM(C57:C61)</f>
        <v>23305</v>
      </c>
      <c r="D62" s="191">
        <f t="shared" si="133"/>
        <v>23320.224999999999</v>
      </c>
      <c r="E62" s="191">
        <f t="shared" si="133"/>
        <v>23335.678375</v>
      </c>
      <c r="F62" s="191">
        <f t="shared" si="133"/>
        <v>10946.363550624999</v>
      </c>
      <c r="G62" s="191">
        <f t="shared" si="133"/>
        <v>10962.284003884375</v>
      </c>
      <c r="H62" s="191">
        <f t="shared" si="133"/>
        <v>11093.44326394264</v>
      </c>
      <c r="I62" s="191">
        <f t="shared" si="133"/>
        <v>11109.844912901779</v>
      </c>
      <c r="J62" s="191">
        <f t="shared" si="133"/>
        <v>11126.492586595306</v>
      </c>
      <c r="K62" s="191">
        <f t="shared" si="133"/>
        <v>11143.389975394235</v>
      </c>
      <c r="L62" s="191">
        <f t="shared" si="133"/>
        <v>11160.540825025149</v>
      </c>
      <c r="M62" s="191">
        <f t="shared" si="133"/>
        <v>11177.948937400526</v>
      </c>
      <c r="N62" s="191">
        <f t="shared" ref="N62" si="134">SUM(N57:N61)</f>
        <v>11195.618171461534</v>
      </c>
      <c r="O62" s="191">
        <f t="shared" ref="O62" si="135">SUM(O57:O61)</f>
        <v>11213.552444033456</v>
      </c>
      <c r="P62" s="191">
        <f t="shared" ref="P62" si="136">SUM(P57:P61)</f>
        <v>11231.755730693958</v>
      </c>
      <c r="Q62" s="191">
        <f t="shared" ref="Q62" si="137">SUM(Q57:Q61)</f>
        <v>11250.232066654367</v>
      </c>
      <c r="R62" s="191">
        <f t="shared" ref="R62" si="138">SUM(R57:R61)</f>
        <v>11268.985547654183</v>
      </c>
      <c r="S62" s="191">
        <f t="shared" ref="S62" si="139">SUM(S57:S61)</f>
        <v>11288.020330868996</v>
      </c>
      <c r="T62" s="191">
        <f t="shared" ref="T62" si="140">SUM(T57:T61)</f>
        <v>11307.34063583203</v>
      </c>
      <c r="U62" s="191">
        <f t="shared" ref="U62" si="141">SUM(U57:U61)</f>
        <v>11326.950745369511</v>
      </c>
      <c r="V62" s="191">
        <f t="shared" ref="V62" si="142">SUM(V57:V61)</f>
        <v>11346.855006550053</v>
      </c>
      <c r="W62" s="191">
        <f t="shared" ref="W62" si="143">SUM(W57:W61)</f>
        <v>11367.057831648304</v>
      </c>
      <c r="X62" s="191">
        <f t="shared" ref="X62" si="144">SUM(X57:X61)</f>
        <v>11387.563699123029</v>
      </c>
      <c r="Y62" s="191">
        <f t="shared" ref="Y62" si="145">SUM(Y57:Y61)</f>
        <v>11408.377154609874</v>
      </c>
      <c r="Z62" s="191">
        <f t="shared" ref="Z62" si="146">SUM(Z57:Z61)</f>
        <v>11429.502811929022</v>
      </c>
      <c r="AA62" s="191">
        <f t="shared" ref="AA62" si="147">SUM(AA57:AA61)</f>
        <v>11450.945354107957</v>
      </c>
      <c r="AB62" s="191">
        <f t="shared" ref="AB62" si="148">SUM(AB57:AB61)</f>
        <v>11472.709534419577</v>
      </c>
      <c r="AC62" s="191">
        <f t="shared" ref="AC62" si="149">SUM(AC57:AC61)</f>
        <v>11494.800177435869</v>
      </c>
      <c r="AD62" s="191">
        <f t="shared" ref="AD62" si="150">SUM(AD57:AD61)</f>
        <v>11517.222180097408</v>
      </c>
      <c r="AE62" s="191">
        <f t="shared" ref="AE62" si="151">SUM(AE57:AE61)</f>
        <v>11539.980512798869</v>
      </c>
      <c r="AF62" s="191">
        <f t="shared" ref="AF62" si="152">SUM(AF57:AF61)</f>
        <v>11563.08022049085</v>
      </c>
      <c r="AG62" s="191">
        <f t="shared" ref="AG62" si="153">SUM(AG57:AG61)</f>
        <v>11586.526423798214</v>
      </c>
      <c r="AH62" s="191">
        <f t="shared" ref="AH62" si="154">SUM(AH57:AH61)</f>
        <v>11610.324320155187</v>
      </c>
      <c r="AI62" s="191">
        <f t="shared" ref="AI62" si="155">SUM(AI57:AI61)</f>
        <v>11634.479184957514</v>
      </c>
      <c r="AJ62" s="191">
        <f t="shared" ref="AJ62" si="156">SUM(AJ57:AJ61)</f>
        <v>11658.996372731877</v>
      </c>
      <c r="AK62" s="191">
        <f t="shared" ref="AK62" si="157">SUM(AK57:AK61)</f>
        <v>11683.881318322856</v>
      </c>
      <c r="AL62" s="191">
        <f t="shared" ref="AL62" si="158">SUM(AL57:AL61)</f>
        <v>11709.139538097697</v>
      </c>
      <c r="AM62" s="191">
        <f t="shared" ref="AM62" si="159">SUM(AM57:AM61)</f>
        <v>11734.776631169163</v>
      </c>
      <c r="AN62" s="191">
        <f t="shared" ref="AN62" si="160">SUM(AN57:AN61)</f>
        <v>11760.7982806367</v>
      </c>
      <c r="AO62" s="191">
        <f t="shared" ref="AO62" si="161">SUM(AO57:AO61)</f>
        <v>11787.210254846252</v>
      </c>
      <c r="AP62" s="191">
        <f t="shared" ref="AP62" si="162">SUM(AP57:AP61)</f>
        <v>11814.018408668944</v>
      </c>
      <c r="AQ62" s="191">
        <f t="shared" ref="AQ62" si="163">SUM(AQ57:AQ61)</f>
        <v>11841.228684798978</v>
      </c>
      <c r="AR62" s="191">
        <f t="shared" ref="AR62" si="164">SUM(AR57:AR61)</f>
        <v>11868.847115070963</v>
      </c>
      <c r="AS62" s="191">
        <f t="shared" ref="AS62" si="165">SUM(AS57:AS61)</f>
        <v>11896.879821797027</v>
      </c>
      <c r="AT62" s="191">
        <f t="shared" ref="AT62" si="166">SUM(AT57:AT61)</f>
        <v>11925.333019123984</v>
      </c>
      <c r="AU62" s="191">
        <f t="shared" ref="AU62" si="167">SUM(AU57:AU61)</f>
        <v>11954.213014410843</v>
      </c>
    </row>
    <row r="63" spans="1:47" x14ac:dyDescent="0.25">
      <c r="A63" s="129" t="s">
        <v>626</v>
      </c>
      <c r="B63" s="229">
        <f>B62-B57-B58</f>
        <v>1000</v>
      </c>
      <c r="C63" s="229">
        <f t="shared" ref="C63:N63" si="168">C62-C57-C58</f>
        <v>1015</v>
      </c>
      <c r="D63" s="229">
        <f t="shared" si="168"/>
        <v>1030.2249999999985</v>
      </c>
      <c r="E63" s="229">
        <f t="shared" si="168"/>
        <v>1045.6783749999995</v>
      </c>
      <c r="F63" s="229">
        <f>F62-F57-F58</f>
        <v>1061.3635506249993</v>
      </c>
      <c r="G63" s="229">
        <f t="shared" si="168"/>
        <v>1077.2840038843751</v>
      </c>
      <c r="H63" s="229">
        <f t="shared" si="168"/>
        <v>11093.44326394264</v>
      </c>
      <c r="I63" s="229">
        <f t="shared" si="168"/>
        <v>11109.844912901779</v>
      </c>
      <c r="J63" s="229">
        <f t="shared" si="168"/>
        <v>11126.492586595306</v>
      </c>
      <c r="K63" s="229">
        <f t="shared" si="168"/>
        <v>11143.389975394235</v>
      </c>
      <c r="L63" s="229">
        <f t="shared" si="168"/>
        <v>11160.540825025149</v>
      </c>
      <c r="M63" s="229">
        <f t="shared" si="168"/>
        <v>11177.948937400526</v>
      </c>
      <c r="N63" s="229">
        <f t="shared" si="168"/>
        <v>11195.618171461534</v>
      </c>
      <c r="O63" s="229">
        <f t="shared" ref="O63" si="169">O62-O57-O58</f>
        <v>11213.552444033456</v>
      </c>
      <c r="P63" s="229">
        <f t="shared" ref="P63" si="170">P62-P57-P58</f>
        <v>11231.755730693958</v>
      </c>
      <c r="Q63" s="229">
        <f t="shared" ref="Q63" si="171">Q62-Q57-Q58</f>
        <v>11250.232066654367</v>
      </c>
      <c r="R63" s="229">
        <f t="shared" ref="R63" si="172">R62-R57-R58</f>
        <v>11268.985547654183</v>
      </c>
      <c r="S63" s="229">
        <f t="shared" ref="S63" si="173">S62-S57-S58</f>
        <v>11288.020330868996</v>
      </c>
      <c r="T63" s="229">
        <f t="shared" ref="T63" si="174">T62-T57-T58</f>
        <v>11307.34063583203</v>
      </c>
      <c r="U63" s="229">
        <f t="shared" ref="U63" si="175">U62-U57-U58</f>
        <v>11326.950745369511</v>
      </c>
      <c r="V63" s="229">
        <f t="shared" ref="V63" si="176">V62-V57-V58</f>
        <v>11346.855006550053</v>
      </c>
      <c r="W63" s="229">
        <f t="shared" ref="W63" si="177">W62-W57-W58</f>
        <v>11367.057831648304</v>
      </c>
      <c r="X63" s="229">
        <f t="shared" ref="X63" si="178">X62-X57-X58</f>
        <v>11387.563699123029</v>
      </c>
      <c r="Y63" s="229">
        <f t="shared" ref="Y63:Z63" si="179">Y62-Y57-Y58</f>
        <v>11408.377154609874</v>
      </c>
      <c r="Z63" s="229">
        <f t="shared" si="179"/>
        <v>11429.502811929022</v>
      </c>
      <c r="AA63" s="229">
        <f t="shared" ref="AA63" si="180">AA62-AA57-AA58</f>
        <v>11450.945354107957</v>
      </c>
      <c r="AB63" s="229">
        <f t="shared" ref="AB63" si="181">AB62-AB57-AB58</f>
        <v>11472.709534419577</v>
      </c>
      <c r="AC63" s="229">
        <f t="shared" ref="AC63" si="182">AC62-AC57-AC58</f>
        <v>11494.800177435869</v>
      </c>
      <c r="AD63" s="229">
        <f t="shared" ref="AD63" si="183">AD62-AD57-AD58</f>
        <v>11517.222180097408</v>
      </c>
      <c r="AE63" s="229">
        <f t="shared" ref="AE63" si="184">AE62-AE57-AE58</f>
        <v>11539.980512798869</v>
      </c>
      <c r="AF63" s="229">
        <f t="shared" ref="AF63" si="185">AF62-AF57-AF58</f>
        <v>11563.08022049085</v>
      </c>
      <c r="AG63" s="229">
        <f t="shared" ref="AG63" si="186">AG62-AG57-AG58</f>
        <v>11586.526423798214</v>
      </c>
      <c r="AH63" s="229">
        <f t="shared" ref="AH63" si="187">AH62-AH57-AH58</f>
        <v>11610.324320155187</v>
      </c>
      <c r="AI63" s="229">
        <f t="shared" ref="AI63" si="188">AI62-AI57-AI58</f>
        <v>11634.479184957514</v>
      </c>
      <c r="AJ63" s="229">
        <f t="shared" ref="AJ63" si="189">AJ62-AJ57-AJ58</f>
        <v>11658.996372731877</v>
      </c>
      <c r="AK63" s="229">
        <f t="shared" ref="AK63:AL63" si="190">AK62-AK57-AK58</f>
        <v>11683.881318322856</v>
      </c>
      <c r="AL63" s="229">
        <f t="shared" si="190"/>
        <v>11709.139538097697</v>
      </c>
      <c r="AM63" s="229">
        <f t="shared" ref="AM63" si="191">AM62-AM57-AM58</f>
        <v>11734.776631169163</v>
      </c>
      <c r="AN63" s="229">
        <f t="shared" ref="AN63" si="192">AN62-AN57-AN58</f>
        <v>11760.7982806367</v>
      </c>
      <c r="AO63" s="229">
        <f t="shared" ref="AO63" si="193">AO62-AO57-AO58</f>
        <v>11787.210254846252</v>
      </c>
      <c r="AP63" s="229">
        <f t="shared" ref="AP63" si="194">AP62-AP57-AP58</f>
        <v>11814.018408668944</v>
      </c>
      <c r="AQ63" s="229">
        <f t="shared" ref="AQ63" si="195">AQ62-AQ57-AQ58</f>
        <v>11841.228684798978</v>
      </c>
      <c r="AR63" s="229">
        <f t="shared" ref="AR63" si="196">AR62-AR57-AR58</f>
        <v>11868.847115070963</v>
      </c>
      <c r="AS63" s="229">
        <f t="shared" ref="AS63" si="197">AS62-AS57-AS58</f>
        <v>11896.879821797027</v>
      </c>
      <c r="AT63" s="229">
        <f t="shared" ref="AT63" si="198">AT62-AT57-AT58</f>
        <v>11925.333019123984</v>
      </c>
      <c r="AU63" s="229">
        <f t="shared" ref="AU63" si="199">AU62-AU57-AU58</f>
        <v>11954.213014410843</v>
      </c>
    </row>
    <row r="64" spans="1:47" x14ac:dyDescent="0.25">
      <c r="A64" s="129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</row>
    <row r="65" spans="1:47" x14ac:dyDescent="0.25">
      <c r="A65" s="3" t="s">
        <v>56</v>
      </c>
      <c r="B65" s="131">
        <f>B56</f>
        <v>44287</v>
      </c>
      <c r="C65" s="131">
        <f t="shared" ref="C65:M65" si="200">C56</f>
        <v>44318</v>
      </c>
      <c r="D65" s="131">
        <f t="shared" si="200"/>
        <v>44349</v>
      </c>
      <c r="E65" s="131">
        <f t="shared" si="200"/>
        <v>44380</v>
      </c>
      <c r="F65" s="131">
        <f t="shared" si="200"/>
        <v>44411</v>
      </c>
      <c r="G65" s="131">
        <f t="shared" si="200"/>
        <v>44442</v>
      </c>
      <c r="H65" s="131">
        <f t="shared" si="200"/>
        <v>44473</v>
      </c>
      <c r="I65" s="131">
        <f t="shared" si="200"/>
        <v>44504</v>
      </c>
      <c r="J65" s="131">
        <f t="shared" si="200"/>
        <v>44535</v>
      </c>
      <c r="K65" s="131">
        <f t="shared" si="200"/>
        <v>44566</v>
      </c>
      <c r="L65" s="131">
        <f t="shared" si="200"/>
        <v>44597</v>
      </c>
      <c r="M65" s="131">
        <f t="shared" si="200"/>
        <v>44628</v>
      </c>
      <c r="N65" s="131">
        <f t="shared" ref="N65:AU65" si="201">N56</f>
        <v>44659</v>
      </c>
      <c r="O65" s="131">
        <f t="shared" si="201"/>
        <v>44690</v>
      </c>
      <c r="P65" s="131">
        <f t="shared" si="201"/>
        <v>44721</v>
      </c>
      <c r="Q65" s="131">
        <f t="shared" si="201"/>
        <v>44752</v>
      </c>
      <c r="R65" s="131">
        <f t="shared" si="201"/>
        <v>44783</v>
      </c>
      <c r="S65" s="131">
        <f t="shared" si="201"/>
        <v>44814</v>
      </c>
      <c r="T65" s="131">
        <f t="shared" si="201"/>
        <v>44845</v>
      </c>
      <c r="U65" s="131">
        <f t="shared" si="201"/>
        <v>44876</v>
      </c>
      <c r="V65" s="131">
        <f t="shared" si="201"/>
        <v>44907</v>
      </c>
      <c r="W65" s="131">
        <f t="shared" si="201"/>
        <v>44938</v>
      </c>
      <c r="X65" s="131">
        <f t="shared" si="201"/>
        <v>44969</v>
      </c>
      <c r="Y65" s="131">
        <f t="shared" si="201"/>
        <v>45000</v>
      </c>
      <c r="Z65" s="131">
        <f t="shared" si="201"/>
        <v>45031</v>
      </c>
      <c r="AA65" s="131">
        <f t="shared" si="201"/>
        <v>45062</v>
      </c>
      <c r="AB65" s="131">
        <f t="shared" si="201"/>
        <v>45093</v>
      </c>
      <c r="AC65" s="131">
        <f t="shared" si="201"/>
        <v>45124</v>
      </c>
      <c r="AD65" s="131">
        <f t="shared" si="201"/>
        <v>45155</v>
      </c>
      <c r="AE65" s="131">
        <f t="shared" si="201"/>
        <v>45186</v>
      </c>
      <c r="AF65" s="131">
        <f t="shared" si="201"/>
        <v>45217</v>
      </c>
      <c r="AG65" s="131">
        <f t="shared" si="201"/>
        <v>45248</v>
      </c>
      <c r="AH65" s="131">
        <f t="shared" si="201"/>
        <v>45279</v>
      </c>
      <c r="AI65" s="131">
        <f t="shared" si="201"/>
        <v>45310</v>
      </c>
      <c r="AJ65" s="131">
        <f t="shared" si="201"/>
        <v>45341</v>
      </c>
      <c r="AK65" s="131">
        <f t="shared" si="201"/>
        <v>45372</v>
      </c>
      <c r="AL65" s="131">
        <f t="shared" si="201"/>
        <v>45403</v>
      </c>
      <c r="AM65" s="131">
        <f t="shared" si="201"/>
        <v>45434</v>
      </c>
      <c r="AN65" s="131">
        <f t="shared" si="201"/>
        <v>45465</v>
      </c>
      <c r="AO65" s="131">
        <f t="shared" si="201"/>
        <v>45496</v>
      </c>
      <c r="AP65" s="131">
        <f t="shared" si="201"/>
        <v>45527</v>
      </c>
      <c r="AQ65" s="131">
        <f t="shared" si="201"/>
        <v>45558</v>
      </c>
      <c r="AR65" s="131">
        <f t="shared" si="201"/>
        <v>45589</v>
      </c>
      <c r="AS65" s="131">
        <f t="shared" si="201"/>
        <v>45620</v>
      </c>
      <c r="AT65" s="131">
        <f t="shared" si="201"/>
        <v>45651</v>
      </c>
      <c r="AU65" s="131">
        <f t="shared" si="201"/>
        <v>45682</v>
      </c>
    </row>
    <row r="66" spans="1:47" outlineLevel="1" x14ac:dyDescent="0.25">
      <c r="A66" s="18" t="s">
        <v>249</v>
      </c>
      <c r="B66" s="114">
        <f>B53</f>
        <v>0</v>
      </c>
      <c r="C66" s="114">
        <f t="shared" ref="C66:M66" si="202">C53</f>
        <v>0</v>
      </c>
      <c r="D66" s="114">
        <f t="shared" si="202"/>
        <v>0</v>
      </c>
      <c r="E66" s="114">
        <f t="shared" si="202"/>
        <v>0</v>
      </c>
      <c r="F66" s="114">
        <f t="shared" si="202"/>
        <v>0</v>
      </c>
      <c r="G66" s="114">
        <f t="shared" si="202"/>
        <v>0</v>
      </c>
      <c r="H66" s="114">
        <f t="shared" si="202"/>
        <v>83828.790896554405</v>
      </c>
      <c r="I66" s="114">
        <f t="shared" si="202"/>
        <v>89946.606537946704</v>
      </c>
      <c r="J66" s="114">
        <f t="shared" si="202"/>
        <v>96185.42198933012</v>
      </c>
      <c r="K66" s="114">
        <f t="shared" si="202"/>
        <v>107451.89296142303</v>
      </c>
      <c r="L66" s="114">
        <f t="shared" si="202"/>
        <v>133948.8193310698</v>
      </c>
      <c r="M66" s="114">
        <f t="shared" si="202"/>
        <v>145679.37190829104</v>
      </c>
      <c r="N66" s="114">
        <f t="shared" ref="N66:AU66" si="203">N53</f>
        <v>157214.41690255754</v>
      </c>
      <c r="O66" s="114">
        <f t="shared" si="203"/>
        <v>168947.6066799257</v>
      </c>
      <c r="P66" s="114">
        <f t="shared" si="203"/>
        <v>195883.04480654403</v>
      </c>
      <c r="Q66" s="114">
        <f t="shared" si="203"/>
        <v>208025.36038232653</v>
      </c>
      <c r="R66" s="114">
        <f t="shared" si="203"/>
        <v>235379.78687101734</v>
      </c>
      <c r="S66" s="114">
        <f t="shared" si="203"/>
        <v>247952.25275476548</v>
      </c>
      <c r="T66" s="114">
        <f t="shared" si="203"/>
        <v>260749.48578688537</v>
      </c>
      <c r="U66" s="114">
        <f t="shared" si="203"/>
        <v>288779.13288253197</v>
      </c>
      <c r="V66" s="114">
        <f t="shared" si="203"/>
        <v>302049.8979929763</v>
      </c>
      <c r="W66" s="114">
        <f t="shared" si="203"/>
        <v>320456.06344303017</v>
      </c>
      <c r="X66" s="114">
        <f t="shared" si="203"/>
        <v>354209.18501119054</v>
      </c>
      <c r="Y66" s="114">
        <f t="shared" si="203"/>
        <v>388322.48779418611</v>
      </c>
      <c r="Z66" s="114">
        <f t="shared" si="203"/>
        <v>406757.28919988172</v>
      </c>
      <c r="AA66" s="114">
        <f t="shared" si="203"/>
        <v>440515.74008774583</v>
      </c>
      <c r="AB66" s="114">
        <f t="shared" si="203"/>
        <v>459616.6389497011</v>
      </c>
      <c r="AC66" s="114">
        <f t="shared" si="203"/>
        <v>494081.51405030175</v>
      </c>
      <c r="AD66" s="114">
        <f t="shared" si="203"/>
        <v>513935.03289262834</v>
      </c>
      <c r="AE66" s="114">
        <f t="shared" si="203"/>
        <v>549205.47310406622</v>
      </c>
      <c r="AF66" s="114">
        <f t="shared" si="203"/>
        <v>569925.26395495259</v>
      </c>
      <c r="AG66" s="114">
        <f t="shared" si="203"/>
        <v>606131.60910501773</v>
      </c>
      <c r="AH66" s="114">
        <f t="shared" si="203"/>
        <v>642867.20276179432</v>
      </c>
      <c r="AI66" s="114">
        <f t="shared" si="203"/>
        <v>668099.61077697587</v>
      </c>
      <c r="AJ66" s="114">
        <f t="shared" si="203"/>
        <v>709005.185720023</v>
      </c>
      <c r="AK66" s="114">
        <f t="shared" si="203"/>
        <v>750648.66761634289</v>
      </c>
      <c r="AL66" s="114">
        <f t="shared" si="203"/>
        <v>792301.37762653548</v>
      </c>
      <c r="AM66" s="114">
        <f t="shared" si="203"/>
        <v>819811.64530668419</v>
      </c>
      <c r="AN66" s="114">
        <f t="shared" si="203"/>
        <v>863276.26508865925</v>
      </c>
      <c r="AO66" s="114">
        <f t="shared" si="203"/>
        <v>907806.46416800166</v>
      </c>
      <c r="AP66" s="114">
        <f t="shared" si="203"/>
        <v>953530.06741847144</v>
      </c>
      <c r="AQ66" s="114">
        <f t="shared" si="203"/>
        <v>1000593.9870437835</v>
      </c>
      <c r="AR66" s="114">
        <f t="shared" si="203"/>
        <v>1049167.0856770985</v>
      </c>
      <c r="AS66" s="114">
        <f t="shared" si="203"/>
        <v>1099443.4689454413</v>
      </c>
      <c r="AT66" s="114">
        <f t="shared" si="203"/>
        <v>1151646.2719187795</v>
      </c>
      <c r="AU66" s="114">
        <f t="shared" si="203"/>
        <v>1156343.7801826939</v>
      </c>
    </row>
    <row r="67" spans="1:47" ht="17" outlineLevel="1" thickBot="1" x14ac:dyDescent="0.3">
      <c r="A67" s="18" t="s">
        <v>112</v>
      </c>
      <c r="B67" s="114">
        <f>B62</f>
        <v>23290</v>
      </c>
      <c r="C67" s="114">
        <f t="shared" ref="C67:M67" si="204">C62</f>
        <v>23305</v>
      </c>
      <c r="D67" s="114">
        <f t="shared" si="204"/>
        <v>23320.224999999999</v>
      </c>
      <c r="E67" s="114">
        <f t="shared" si="204"/>
        <v>23335.678375</v>
      </c>
      <c r="F67" s="114">
        <f t="shared" si="204"/>
        <v>10946.363550624999</v>
      </c>
      <c r="G67" s="114">
        <f t="shared" si="204"/>
        <v>10962.284003884375</v>
      </c>
      <c r="H67" s="114">
        <f t="shared" si="204"/>
        <v>11093.44326394264</v>
      </c>
      <c r="I67" s="114">
        <f t="shared" si="204"/>
        <v>11109.844912901779</v>
      </c>
      <c r="J67" s="114">
        <f t="shared" si="204"/>
        <v>11126.492586595306</v>
      </c>
      <c r="K67" s="114">
        <f t="shared" si="204"/>
        <v>11143.389975394235</v>
      </c>
      <c r="L67" s="114">
        <f t="shared" si="204"/>
        <v>11160.540825025149</v>
      </c>
      <c r="M67" s="114">
        <f t="shared" si="204"/>
        <v>11177.948937400526</v>
      </c>
      <c r="N67" s="114">
        <f t="shared" ref="N67:AU67" si="205">N62</f>
        <v>11195.618171461534</v>
      </c>
      <c r="O67" s="114">
        <f t="shared" si="205"/>
        <v>11213.552444033456</v>
      </c>
      <c r="P67" s="114">
        <f t="shared" si="205"/>
        <v>11231.755730693958</v>
      </c>
      <c r="Q67" s="114">
        <f t="shared" si="205"/>
        <v>11250.232066654367</v>
      </c>
      <c r="R67" s="114">
        <f t="shared" si="205"/>
        <v>11268.985547654183</v>
      </c>
      <c r="S67" s="114">
        <f t="shared" si="205"/>
        <v>11288.020330868996</v>
      </c>
      <c r="T67" s="114">
        <f t="shared" si="205"/>
        <v>11307.34063583203</v>
      </c>
      <c r="U67" s="114">
        <f t="shared" si="205"/>
        <v>11326.950745369511</v>
      </c>
      <c r="V67" s="114">
        <f t="shared" si="205"/>
        <v>11346.855006550053</v>
      </c>
      <c r="W67" s="114">
        <f t="shared" si="205"/>
        <v>11367.057831648304</v>
      </c>
      <c r="X67" s="114">
        <f t="shared" si="205"/>
        <v>11387.563699123029</v>
      </c>
      <c r="Y67" s="114">
        <f t="shared" si="205"/>
        <v>11408.377154609874</v>
      </c>
      <c r="Z67" s="114">
        <f t="shared" si="205"/>
        <v>11429.502811929022</v>
      </c>
      <c r="AA67" s="114">
        <f t="shared" si="205"/>
        <v>11450.945354107957</v>
      </c>
      <c r="AB67" s="114">
        <f t="shared" si="205"/>
        <v>11472.709534419577</v>
      </c>
      <c r="AC67" s="114">
        <f t="shared" si="205"/>
        <v>11494.800177435869</v>
      </c>
      <c r="AD67" s="114">
        <f t="shared" si="205"/>
        <v>11517.222180097408</v>
      </c>
      <c r="AE67" s="114">
        <f t="shared" si="205"/>
        <v>11539.980512798869</v>
      </c>
      <c r="AF67" s="114">
        <f t="shared" si="205"/>
        <v>11563.08022049085</v>
      </c>
      <c r="AG67" s="114">
        <f t="shared" si="205"/>
        <v>11586.526423798214</v>
      </c>
      <c r="AH67" s="114">
        <f t="shared" si="205"/>
        <v>11610.324320155187</v>
      </c>
      <c r="AI67" s="114">
        <f t="shared" si="205"/>
        <v>11634.479184957514</v>
      </c>
      <c r="AJ67" s="114">
        <f t="shared" si="205"/>
        <v>11658.996372731877</v>
      </c>
      <c r="AK67" s="114">
        <f t="shared" si="205"/>
        <v>11683.881318322856</v>
      </c>
      <c r="AL67" s="114">
        <f t="shared" si="205"/>
        <v>11709.139538097697</v>
      </c>
      <c r="AM67" s="114">
        <f t="shared" si="205"/>
        <v>11734.776631169163</v>
      </c>
      <c r="AN67" s="114">
        <f t="shared" si="205"/>
        <v>11760.7982806367</v>
      </c>
      <c r="AO67" s="114">
        <f t="shared" si="205"/>
        <v>11787.210254846252</v>
      </c>
      <c r="AP67" s="114">
        <f t="shared" si="205"/>
        <v>11814.018408668944</v>
      </c>
      <c r="AQ67" s="114">
        <f t="shared" si="205"/>
        <v>11841.228684798978</v>
      </c>
      <c r="AR67" s="114">
        <f t="shared" si="205"/>
        <v>11868.847115070963</v>
      </c>
      <c r="AS67" s="114">
        <f t="shared" si="205"/>
        <v>11896.879821797027</v>
      </c>
      <c r="AT67" s="114">
        <f t="shared" si="205"/>
        <v>11925.333019123984</v>
      </c>
      <c r="AU67" s="114">
        <f t="shared" si="205"/>
        <v>11954.213014410843</v>
      </c>
    </row>
    <row r="68" spans="1:47" x14ac:dyDescent="0.25">
      <c r="A68" s="113" t="s">
        <v>250</v>
      </c>
      <c r="B68" s="120">
        <f>B66-B67</f>
        <v>-23290</v>
      </c>
      <c r="C68" s="120">
        <f t="shared" ref="C68:M68" si="206">C66-C67</f>
        <v>-23305</v>
      </c>
      <c r="D68" s="120">
        <f t="shared" si="206"/>
        <v>-23320.224999999999</v>
      </c>
      <c r="E68" s="120">
        <f t="shared" si="206"/>
        <v>-23335.678375</v>
      </c>
      <c r="F68" s="120">
        <f t="shared" si="206"/>
        <v>-10946.363550624999</v>
      </c>
      <c r="G68" s="120">
        <f t="shared" si="206"/>
        <v>-10962.284003884375</v>
      </c>
      <c r="H68" s="120">
        <f t="shared" si="206"/>
        <v>72735.347632611767</v>
      </c>
      <c r="I68" s="120">
        <f t="shared" si="206"/>
        <v>78836.761625044921</v>
      </c>
      <c r="J68" s="120">
        <f t="shared" si="206"/>
        <v>85058.929402734808</v>
      </c>
      <c r="K68" s="120">
        <f t="shared" si="206"/>
        <v>96308.50298602879</v>
      </c>
      <c r="L68" s="120">
        <f t="shared" si="206"/>
        <v>122788.27850604465</v>
      </c>
      <c r="M68" s="120">
        <f t="shared" si="206"/>
        <v>134501.4229708905</v>
      </c>
      <c r="N68" s="120">
        <f t="shared" ref="N68" si="207">N66-N67</f>
        <v>146018.798731096</v>
      </c>
      <c r="O68" s="120">
        <f t="shared" ref="O68" si="208">O66-O67</f>
        <v>157734.05423589225</v>
      </c>
      <c r="P68" s="120">
        <f t="shared" ref="P68" si="209">P66-P67</f>
        <v>184651.28907585007</v>
      </c>
      <c r="Q68" s="120">
        <f t="shared" ref="Q68" si="210">Q66-Q67</f>
        <v>196775.12831567216</v>
      </c>
      <c r="R68" s="120">
        <f t="shared" ref="R68" si="211">R66-R67</f>
        <v>224110.80132336315</v>
      </c>
      <c r="S68" s="120">
        <f t="shared" ref="S68" si="212">S66-S67</f>
        <v>236664.23242389649</v>
      </c>
      <c r="T68" s="120">
        <f t="shared" ref="T68" si="213">T66-T67</f>
        <v>249442.14515105335</v>
      </c>
      <c r="U68" s="120">
        <f t="shared" ref="U68" si="214">U66-U67</f>
        <v>277452.18213716242</v>
      </c>
      <c r="V68" s="120">
        <f t="shared" ref="V68" si="215">V66-V67</f>
        <v>290703.04298642627</v>
      </c>
      <c r="W68" s="120">
        <f t="shared" ref="W68" si="216">W66-W67</f>
        <v>309089.00561138184</v>
      </c>
      <c r="X68" s="120">
        <f t="shared" ref="X68" si="217">X66-X67</f>
        <v>342821.62131206749</v>
      </c>
      <c r="Y68" s="120">
        <f t="shared" ref="Y68" si="218">Y66-Y67</f>
        <v>376914.11063957622</v>
      </c>
      <c r="Z68" s="120">
        <f t="shared" ref="Z68" si="219">Z66-Z67</f>
        <v>395327.78638795268</v>
      </c>
      <c r="AA68" s="120">
        <f t="shared" ref="AA68" si="220">AA66-AA67</f>
        <v>429064.79473363789</v>
      </c>
      <c r="AB68" s="120">
        <f t="shared" ref="AB68" si="221">AB66-AB67</f>
        <v>448143.92941528151</v>
      </c>
      <c r="AC68" s="120">
        <f t="shared" ref="AC68" si="222">AC66-AC67</f>
        <v>482586.71387286589</v>
      </c>
      <c r="AD68" s="120">
        <f t="shared" ref="AD68" si="223">AD66-AD67</f>
        <v>502417.81071253092</v>
      </c>
      <c r="AE68" s="120">
        <f t="shared" ref="AE68" si="224">AE66-AE67</f>
        <v>537665.49259126734</v>
      </c>
      <c r="AF68" s="120">
        <f t="shared" ref="AF68" si="225">AF66-AF67</f>
        <v>558362.18373446178</v>
      </c>
      <c r="AG68" s="120">
        <f t="shared" ref="AG68" si="226">AG66-AG67</f>
        <v>594545.08268121956</v>
      </c>
      <c r="AH68" s="120">
        <f t="shared" ref="AH68" si="227">AH66-AH67</f>
        <v>631256.87844163913</v>
      </c>
      <c r="AI68" s="120">
        <f t="shared" ref="AI68" si="228">AI66-AI67</f>
        <v>656465.1315920183</v>
      </c>
      <c r="AJ68" s="120">
        <f t="shared" ref="AJ68" si="229">AJ66-AJ67</f>
        <v>697346.18934729113</v>
      </c>
      <c r="AK68" s="120">
        <f t="shared" ref="AK68" si="230">AK66-AK67</f>
        <v>738964.78629802004</v>
      </c>
      <c r="AL68" s="120">
        <f t="shared" ref="AL68" si="231">AL66-AL67</f>
        <v>780592.23808843782</v>
      </c>
      <c r="AM68" s="120">
        <f t="shared" ref="AM68" si="232">AM66-AM67</f>
        <v>808076.86867551506</v>
      </c>
      <c r="AN68" s="120">
        <f t="shared" ref="AN68" si="233">AN66-AN67</f>
        <v>851515.46680802258</v>
      </c>
      <c r="AO68" s="120">
        <f t="shared" ref="AO68" si="234">AO66-AO67</f>
        <v>896019.25391315541</v>
      </c>
      <c r="AP68" s="120">
        <f t="shared" ref="AP68" si="235">AP66-AP67</f>
        <v>941716.04900980252</v>
      </c>
      <c r="AQ68" s="120">
        <f t="shared" ref="AQ68" si="236">AQ66-AQ67</f>
        <v>988752.7583589846</v>
      </c>
      <c r="AR68" s="120">
        <f t="shared" ref="AR68" si="237">AR66-AR67</f>
        <v>1037298.2385620276</v>
      </c>
      <c r="AS68" s="120">
        <f t="shared" ref="AS68" si="238">AS66-AS67</f>
        <v>1087546.5891236442</v>
      </c>
      <c r="AT68" s="120">
        <f t="shared" ref="AT68" si="239">AT66-AT67</f>
        <v>1139720.9388996556</v>
      </c>
      <c r="AU68" s="120">
        <f t="shared" ref="AU68" si="240">AU66-AU67</f>
        <v>1144389.567168283</v>
      </c>
    </row>
    <row r="69" spans="1:47" x14ac:dyDescent="0.25">
      <c r="A69" s="2" t="s">
        <v>251</v>
      </c>
      <c r="B69" s="132" t="e">
        <f>B68/B66</f>
        <v>#DIV/0!</v>
      </c>
      <c r="C69" s="132" t="e">
        <f t="shared" ref="C69:M69" si="241">C68/C66</f>
        <v>#DIV/0!</v>
      </c>
      <c r="D69" s="132" t="e">
        <f t="shared" si="241"/>
        <v>#DIV/0!</v>
      </c>
      <c r="E69" s="132" t="e">
        <f t="shared" si="241"/>
        <v>#DIV/0!</v>
      </c>
      <c r="F69" s="132" t="e">
        <f t="shared" si="241"/>
        <v>#DIV/0!</v>
      </c>
      <c r="G69" s="132" t="e">
        <f t="shared" si="241"/>
        <v>#DIV/0!</v>
      </c>
      <c r="H69" s="132">
        <f t="shared" si="241"/>
        <v>0.86766547453091547</v>
      </c>
      <c r="I69" s="132">
        <f t="shared" si="241"/>
        <v>0.87648400155913875</v>
      </c>
      <c r="J69" s="132">
        <f t="shared" si="241"/>
        <v>0.88432246429370998</v>
      </c>
      <c r="K69" s="132">
        <f t="shared" si="241"/>
        <v>0.89629414923946571</v>
      </c>
      <c r="L69" s="132">
        <f t="shared" si="241"/>
        <v>0.91668055843448237</v>
      </c>
      <c r="M69" s="132">
        <f t="shared" si="241"/>
        <v>0.92327020091466794</v>
      </c>
      <c r="N69" s="132">
        <f t="shared" ref="N69" si="242">N68/N66</f>
        <v>0.92878758582044896</v>
      </c>
      <c r="O69" s="132">
        <f t="shared" ref="O69" si="243">O68/O66</f>
        <v>0.93362704175337785</v>
      </c>
      <c r="P69" s="132">
        <f t="shared" ref="P69" si="244">P68/P66</f>
        <v>0.94266090900421451</v>
      </c>
      <c r="Q69" s="132">
        <f t="shared" ref="Q69" si="245">Q68/Q66</f>
        <v>0.94591893966207896</v>
      </c>
      <c r="R69" s="132">
        <f t="shared" ref="R69" si="246">R68/R66</f>
        <v>0.95212424270810758</v>
      </c>
      <c r="S69" s="132">
        <f t="shared" ref="S69" si="247">S68/S66</f>
        <v>0.95447502410057439</v>
      </c>
      <c r="T69" s="132">
        <f t="shared" ref="T69" si="248">T68/T66</f>
        <v>0.95663523323273714</v>
      </c>
      <c r="U69" s="132">
        <f t="shared" ref="U69" si="249">U68/U66</f>
        <v>0.96077642233943183</v>
      </c>
      <c r="V69" s="132">
        <f t="shared" ref="V69" si="250">V68/V66</f>
        <v>0.96243383930288928</v>
      </c>
      <c r="W69" s="132">
        <f t="shared" ref="W69" si="251">W68/W66</f>
        <v>0.96452849819872688</v>
      </c>
      <c r="X69" s="132">
        <f t="shared" ref="X69" si="252">X68/X66</f>
        <v>0.96785073854376957</v>
      </c>
      <c r="Y69" s="132">
        <f t="shared" ref="Y69" si="253">Y68/Y66</f>
        <v>0.9706213842535526</v>
      </c>
      <c r="Z69" s="132">
        <f t="shared" ref="Z69" si="254">Z68/Z66</f>
        <v>0.97190092687850382</v>
      </c>
      <c r="AA69" s="132">
        <f t="shared" ref="AA69" si="255">AA68/AA66</f>
        <v>0.97400559318986635</v>
      </c>
      <c r="AB69" s="132">
        <f t="shared" ref="AB69" si="256">AB68/AB66</f>
        <v>0.97503852436535676</v>
      </c>
      <c r="AC69" s="132">
        <f t="shared" ref="AC69" si="257">AC68/AC66</f>
        <v>0.97673501264355023</v>
      </c>
      <c r="AD69" s="132">
        <f t="shared" ref="AD69" si="258">AD68/AD66</f>
        <v>0.97759012045691074</v>
      </c>
      <c r="AE69" s="132">
        <f t="shared" ref="AE69" si="259">AE68/AE66</f>
        <v>0.97898786323527365</v>
      </c>
      <c r="AF69" s="132">
        <f t="shared" ref="AF69" si="260">AF68/AF66</f>
        <v>0.97971123417086359</v>
      </c>
      <c r="AG69" s="132">
        <f t="shared" ref="AG69" si="261">AG68/AG66</f>
        <v>0.98088447088099195</v>
      </c>
      <c r="AH69" s="132">
        <f t="shared" ref="AH69" si="262">AH68/AH66</f>
        <v>0.98193977812170763</v>
      </c>
      <c r="AI69" s="132">
        <f t="shared" ref="AI69" si="263">AI68/AI66</f>
        <v>0.98258571177518406</v>
      </c>
      <c r="AJ69" s="132">
        <f t="shared" ref="AJ69" si="264">AJ68/AJ66</f>
        <v>0.98355583766162202</v>
      </c>
      <c r="AK69" s="132">
        <f t="shared" ref="AK69" si="265">AK68/AK66</f>
        <v>0.98443495363093814</v>
      </c>
      <c r="AL69" s="132">
        <f t="shared" ref="AL69" si="266">AL68/AL66</f>
        <v>0.98522135658381127</v>
      </c>
      <c r="AM69" s="132">
        <f t="shared" ref="AM69" si="267">AM68/AM66</f>
        <v>0.98568600885538871</v>
      </c>
      <c r="AN69" s="132">
        <f t="shared" ref="AN69" si="268">AN68/AN66</f>
        <v>0.98637655318899697</v>
      </c>
      <c r="AO69" s="132">
        <f t="shared" ref="AO69" si="269">AO68/AO66</f>
        <v>0.9870157233726583</v>
      </c>
      <c r="AP69" s="132">
        <f t="shared" ref="AP69" si="270">AP68/AP66</f>
        <v>0.98761022980570135</v>
      </c>
      <c r="AQ69" s="132">
        <f t="shared" ref="AQ69" si="271">AQ68/AQ66</f>
        <v>0.98816580067627291</v>
      </c>
      <c r="AR69" s="132">
        <f t="shared" ref="AR69" si="272">AR68/AR66</f>
        <v>0.98868736231139853</v>
      </c>
      <c r="AS69" s="132">
        <f t="shared" ref="AS69" si="273">AS68/AS66</f>
        <v>0.98917918005078664</v>
      </c>
      <c r="AT69" s="132">
        <f t="shared" ref="AT69" si="274">AT68/AT66</f>
        <v>0.98964496885032693</v>
      </c>
      <c r="AU69" s="132">
        <f t="shared" ref="AU69" si="275">AU68/AU66</f>
        <v>0.98966205965796594</v>
      </c>
    </row>
    <row r="71" spans="1:47" x14ac:dyDescent="0.25">
      <c r="A71" s="3" t="s">
        <v>400</v>
      </c>
      <c r="B71" s="131">
        <f>B48</f>
        <v>44287</v>
      </c>
      <c r="C71" s="131">
        <f t="shared" ref="C71:Y71" si="276">C48</f>
        <v>44318</v>
      </c>
      <c r="D71" s="131">
        <f t="shared" si="276"/>
        <v>44349</v>
      </c>
      <c r="E71" s="131">
        <f t="shared" si="276"/>
        <v>44380</v>
      </c>
      <c r="F71" s="131">
        <f t="shared" si="276"/>
        <v>44411</v>
      </c>
      <c r="G71" s="131">
        <f t="shared" si="276"/>
        <v>44442</v>
      </c>
      <c r="H71" s="131">
        <f t="shared" si="276"/>
        <v>44473</v>
      </c>
      <c r="I71" s="131">
        <f t="shared" si="276"/>
        <v>44504</v>
      </c>
      <c r="J71" s="131">
        <f t="shared" si="276"/>
        <v>44535</v>
      </c>
      <c r="K71" s="131">
        <f t="shared" si="276"/>
        <v>44566</v>
      </c>
      <c r="L71" s="131">
        <f t="shared" si="276"/>
        <v>44597</v>
      </c>
      <c r="M71" s="131">
        <f t="shared" si="276"/>
        <v>44628</v>
      </c>
      <c r="N71" s="131">
        <f t="shared" si="276"/>
        <v>44659</v>
      </c>
      <c r="O71" s="131">
        <f t="shared" si="276"/>
        <v>44690</v>
      </c>
      <c r="P71" s="131">
        <f t="shared" si="276"/>
        <v>44721</v>
      </c>
      <c r="Q71" s="131">
        <f t="shared" si="276"/>
        <v>44752</v>
      </c>
      <c r="R71" s="131">
        <f t="shared" si="276"/>
        <v>44783</v>
      </c>
      <c r="S71" s="131">
        <f t="shared" si="276"/>
        <v>44814</v>
      </c>
      <c r="T71" s="131">
        <f t="shared" si="276"/>
        <v>44845</v>
      </c>
      <c r="U71" s="131">
        <f t="shared" si="276"/>
        <v>44876</v>
      </c>
      <c r="V71" s="131">
        <f t="shared" si="276"/>
        <v>44907</v>
      </c>
      <c r="W71" s="131">
        <f t="shared" si="276"/>
        <v>44938</v>
      </c>
      <c r="X71" s="131">
        <f t="shared" si="276"/>
        <v>44969</v>
      </c>
      <c r="Y71" s="131">
        <f t="shared" si="276"/>
        <v>45000</v>
      </c>
      <c r="Z71" s="131">
        <f t="shared" ref="Z71:AU71" si="277">Z48</f>
        <v>45031</v>
      </c>
      <c r="AA71" s="131">
        <f t="shared" si="277"/>
        <v>45062</v>
      </c>
      <c r="AB71" s="131">
        <f t="shared" si="277"/>
        <v>45093</v>
      </c>
      <c r="AC71" s="131">
        <f t="shared" si="277"/>
        <v>45124</v>
      </c>
      <c r="AD71" s="131">
        <f t="shared" si="277"/>
        <v>45155</v>
      </c>
      <c r="AE71" s="131">
        <f t="shared" si="277"/>
        <v>45186</v>
      </c>
      <c r="AF71" s="131">
        <f t="shared" si="277"/>
        <v>45217</v>
      </c>
      <c r="AG71" s="131">
        <f t="shared" si="277"/>
        <v>45248</v>
      </c>
      <c r="AH71" s="131">
        <f t="shared" si="277"/>
        <v>45279</v>
      </c>
      <c r="AI71" s="131">
        <f t="shared" si="277"/>
        <v>45310</v>
      </c>
      <c r="AJ71" s="131">
        <f t="shared" si="277"/>
        <v>45341</v>
      </c>
      <c r="AK71" s="131">
        <f t="shared" si="277"/>
        <v>45372</v>
      </c>
      <c r="AL71" s="131">
        <f t="shared" si="277"/>
        <v>45403</v>
      </c>
      <c r="AM71" s="131">
        <f t="shared" si="277"/>
        <v>45434</v>
      </c>
      <c r="AN71" s="131">
        <f t="shared" si="277"/>
        <v>45465</v>
      </c>
      <c r="AO71" s="131">
        <f t="shared" si="277"/>
        <v>45496</v>
      </c>
      <c r="AP71" s="131">
        <f t="shared" si="277"/>
        <v>45527</v>
      </c>
      <c r="AQ71" s="131">
        <f t="shared" si="277"/>
        <v>45558</v>
      </c>
      <c r="AR71" s="131">
        <f t="shared" si="277"/>
        <v>45589</v>
      </c>
      <c r="AS71" s="131">
        <f t="shared" si="277"/>
        <v>45620</v>
      </c>
      <c r="AT71" s="131">
        <f t="shared" si="277"/>
        <v>45651</v>
      </c>
      <c r="AU71" s="131">
        <f t="shared" si="277"/>
        <v>45682</v>
      </c>
    </row>
    <row r="72" spans="1:47" outlineLevel="1" x14ac:dyDescent="0.25">
      <c r="A72" s="18" t="s">
        <v>248</v>
      </c>
      <c r="B72" s="119">
        <f>B67</f>
        <v>23290</v>
      </c>
      <c r="C72" s="119">
        <f t="shared" ref="C72:M72" si="278">C67</f>
        <v>23305</v>
      </c>
      <c r="D72" s="119">
        <f t="shared" si="278"/>
        <v>23320.224999999999</v>
      </c>
      <c r="E72" s="119">
        <f t="shared" si="278"/>
        <v>23335.678375</v>
      </c>
      <c r="F72" s="119">
        <f t="shared" si="278"/>
        <v>10946.363550624999</v>
      </c>
      <c r="G72" s="119">
        <f t="shared" si="278"/>
        <v>10962.284003884375</v>
      </c>
      <c r="H72" s="119">
        <f t="shared" si="278"/>
        <v>11093.44326394264</v>
      </c>
      <c r="I72" s="119">
        <f t="shared" si="278"/>
        <v>11109.844912901779</v>
      </c>
      <c r="J72" s="119">
        <f t="shared" si="278"/>
        <v>11126.492586595306</v>
      </c>
      <c r="K72" s="119">
        <f t="shared" si="278"/>
        <v>11143.389975394235</v>
      </c>
      <c r="L72" s="119">
        <f t="shared" si="278"/>
        <v>11160.540825025149</v>
      </c>
      <c r="M72" s="119">
        <f t="shared" si="278"/>
        <v>11177.948937400526</v>
      </c>
      <c r="N72" s="119">
        <f>M72*1.02</f>
        <v>11401.507916148537</v>
      </c>
      <c r="O72" s="119">
        <f t="shared" ref="O72:Y72" si="279">N72*1.02</f>
        <v>11629.538074471508</v>
      </c>
      <c r="P72" s="119">
        <f t="shared" si="279"/>
        <v>11862.128835960937</v>
      </c>
      <c r="Q72" s="119">
        <f t="shared" si="279"/>
        <v>12099.371412680155</v>
      </c>
      <c r="R72" s="119">
        <f t="shared" si="279"/>
        <v>12341.358840933759</v>
      </c>
      <c r="S72" s="119">
        <f t="shared" si="279"/>
        <v>12588.186017752434</v>
      </c>
      <c r="T72" s="119">
        <f t="shared" si="279"/>
        <v>12839.949738107483</v>
      </c>
      <c r="U72" s="119">
        <f t="shared" si="279"/>
        <v>13096.748732869633</v>
      </c>
      <c r="V72" s="119">
        <f t="shared" si="279"/>
        <v>13358.683707527027</v>
      </c>
      <c r="W72" s="119">
        <f t="shared" si="279"/>
        <v>13625.857381677568</v>
      </c>
      <c r="X72" s="119">
        <f t="shared" si="279"/>
        <v>13898.374529311119</v>
      </c>
      <c r="Y72" s="119">
        <f t="shared" si="279"/>
        <v>14176.342019897342</v>
      </c>
      <c r="Z72" s="119">
        <f t="shared" ref="Z72:AU72" si="280">Y72*1.02</f>
        <v>14459.868860295288</v>
      </c>
      <c r="AA72" s="119">
        <f t="shared" si="280"/>
        <v>14749.066237501194</v>
      </c>
      <c r="AB72" s="119">
        <f t="shared" si="280"/>
        <v>15044.047562251219</v>
      </c>
      <c r="AC72" s="119">
        <f t="shared" si="280"/>
        <v>15344.928513496243</v>
      </c>
      <c r="AD72" s="119">
        <f t="shared" si="280"/>
        <v>15651.827083766168</v>
      </c>
      <c r="AE72" s="119">
        <f t="shared" si="280"/>
        <v>15964.863625441491</v>
      </c>
      <c r="AF72" s="119">
        <f t="shared" si="280"/>
        <v>16284.16089795032</v>
      </c>
      <c r="AG72" s="119">
        <f t="shared" si="280"/>
        <v>16609.844115909327</v>
      </c>
      <c r="AH72" s="119">
        <f t="shared" si="280"/>
        <v>16942.040998227512</v>
      </c>
      <c r="AI72" s="119">
        <f t="shared" si="280"/>
        <v>17280.881818192061</v>
      </c>
      <c r="AJ72" s="119">
        <f t="shared" si="280"/>
        <v>17626.499454555902</v>
      </c>
      <c r="AK72" s="119">
        <f t="shared" si="280"/>
        <v>17979.029443647021</v>
      </c>
      <c r="AL72" s="119">
        <f t="shared" si="280"/>
        <v>18338.610032519962</v>
      </c>
      <c r="AM72" s="119">
        <f t="shared" si="280"/>
        <v>18705.382233170363</v>
      </c>
      <c r="AN72" s="119">
        <f t="shared" si="280"/>
        <v>19079.48987783377</v>
      </c>
      <c r="AO72" s="119">
        <f t="shared" si="280"/>
        <v>19461.079675390447</v>
      </c>
      <c r="AP72" s="119">
        <f t="shared" si="280"/>
        <v>19850.301268898256</v>
      </c>
      <c r="AQ72" s="119">
        <f t="shared" si="280"/>
        <v>20247.307294276223</v>
      </c>
      <c r="AR72" s="119">
        <f t="shared" si="280"/>
        <v>20652.253440161749</v>
      </c>
      <c r="AS72" s="119">
        <f t="shared" si="280"/>
        <v>21065.298508964985</v>
      </c>
      <c r="AT72" s="119">
        <f t="shared" si="280"/>
        <v>21486.604479144284</v>
      </c>
      <c r="AU72" s="119">
        <f t="shared" si="280"/>
        <v>21916.336568727169</v>
      </c>
    </row>
    <row r="73" spans="1:47" outlineLevel="1" x14ac:dyDescent="0.25">
      <c r="A73" s="18" t="s">
        <v>249</v>
      </c>
      <c r="B73" s="119">
        <f>B66</f>
        <v>0</v>
      </c>
      <c r="C73" s="119">
        <f t="shared" ref="C73:I73" si="281">C66</f>
        <v>0</v>
      </c>
      <c r="D73" s="119">
        <f t="shared" si="281"/>
        <v>0</v>
      </c>
      <c r="E73" s="119">
        <f t="shared" si="281"/>
        <v>0</v>
      </c>
      <c r="F73" s="119">
        <f t="shared" si="281"/>
        <v>0</v>
      </c>
      <c r="G73" s="119">
        <f t="shared" si="281"/>
        <v>0</v>
      </c>
      <c r="H73" s="119">
        <f t="shared" si="281"/>
        <v>83828.790896554405</v>
      </c>
      <c r="I73" s="119">
        <f t="shared" si="281"/>
        <v>89946.606537946704</v>
      </c>
      <c r="J73" s="119">
        <f>J53</f>
        <v>96185.42198933012</v>
      </c>
      <c r="K73" s="119">
        <f t="shared" ref="K73:AU73" si="282">K53</f>
        <v>107451.89296142303</v>
      </c>
      <c r="L73" s="119">
        <f t="shared" si="282"/>
        <v>133948.8193310698</v>
      </c>
      <c r="M73" s="119">
        <f t="shared" si="282"/>
        <v>145679.37190829104</v>
      </c>
      <c r="N73" s="119">
        <f t="shared" si="282"/>
        <v>157214.41690255754</v>
      </c>
      <c r="O73" s="119">
        <f t="shared" si="282"/>
        <v>168947.6066799257</v>
      </c>
      <c r="P73" s="119">
        <f t="shared" si="282"/>
        <v>195883.04480654403</v>
      </c>
      <c r="Q73" s="119">
        <f t="shared" si="282"/>
        <v>208025.36038232653</v>
      </c>
      <c r="R73" s="119">
        <f t="shared" si="282"/>
        <v>235379.78687101734</v>
      </c>
      <c r="S73" s="119">
        <f t="shared" si="282"/>
        <v>247952.25275476548</v>
      </c>
      <c r="T73" s="119">
        <f t="shared" si="282"/>
        <v>260749.48578688537</v>
      </c>
      <c r="U73" s="119">
        <f t="shared" si="282"/>
        <v>288779.13288253197</v>
      </c>
      <c r="V73" s="119">
        <f t="shared" si="282"/>
        <v>302049.8979929763</v>
      </c>
      <c r="W73" s="119">
        <f t="shared" si="282"/>
        <v>320456.06344303017</v>
      </c>
      <c r="X73" s="119">
        <f t="shared" si="282"/>
        <v>354209.18501119054</v>
      </c>
      <c r="Y73" s="119">
        <f t="shared" si="282"/>
        <v>388322.48779418611</v>
      </c>
      <c r="Z73" s="119">
        <f t="shared" si="282"/>
        <v>406757.28919988172</v>
      </c>
      <c r="AA73" s="119">
        <f t="shared" si="282"/>
        <v>440515.74008774583</v>
      </c>
      <c r="AB73" s="119">
        <f t="shared" si="282"/>
        <v>459616.6389497011</v>
      </c>
      <c r="AC73" s="119">
        <f t="shared" si="282"/>
        <v>494081.51405030175</v>
      </c>
      <c r="AD73" s="119">
        <f t="shared" si="282"/>
        <v>513935.03289262834</v>
      </c>
      <c r="AE73" s="119">
        <f t="shared" si="282"/>
        <v>549205.47310406622</v>
      </c>
      <c r="AF73" s="119">
        <f t="shared" si="282"/>
        <v>569925.26395495259</v>
      </c>
      <c r="AG73" s="119">
        <f t="shared" si="282"/>
        <v>606131.60910501773</v>
      </c>
      <c r="AH73" s="119">
        <f t="shared" si="282"/>
        <v>642867.20276179432</v>
      </c>
      <c r="AI73" s="119">
        <f t="shared" si="282"/>
        <v>668099.61077697587</v>
      </c>
      <c r="AJ73" s="119">
        <f t="shared" si="282"/>
        <v>709005.185720023</v>
      </c>
      <c r="AK73" s="119">
        <f t="shared" si="282"/>
        <v>750648.66761634289</v>
      </c>
      <c r="AL73" s="119">
        <f t="shared" si="282"/>
        <v>792301.37762653548</v>
      </c>
      <c r="AM73" s="119">
        <f t="shared" si="282"/>
        <v>819811.64530668419</v>
      </c>
      <c r="AN73" s="119">
        <f t="shared" si="282"/>
        <v>863276.26508865925</v>
      </c>
      <c r="AO73" s="119">
        <f t="shared" si="282"/>
        <v>907806.46416800166</v>
      </c>
      <c r="AP73" s="119">
        <f t="shared" si="282"/>
        <v>953530.06741847144</v>
      </c>
      <c r="AQ73" s="119">
        <f t="shared" si="282"/>
        <v>1000593.9870437835</v>
      </c>
      <c r="AR73" s="119">
        <f t="shared" si="282"/>
        <v>1049167.0856770985</v>
      </c>
      <c r="AS73" s="119">
        <f t="shared" si="282"/>
        <v>1099443.4689454413</v>
      </c>
      <c r="AT73" s="119">
        <f t="shared" si="282"/>
        <v>1151646.2719187795</v>
      </c>
      <c r="AU73" s="119">
        <f t="shared" si="282"/>
        <v>1156343.7801826939</v>
      </c>
    </row>
    <row r="74" spans="1:47" s="2" customFormat="1" outlineLevel="1" x14ac:dyDescent="0.25">
      <c r="A74" s="17" t="s">
        <v>401</v>
      </c>
      <c r="B74" s="121">
        <f>-B72+B73</f>
        <v>-23290</v>
      </c>
      <c r="C74" s="121">
        <f t="shared" ref="C74:Y74" si="283">-C72+C73</f>
        <v>-23305</v>
      </c>
      <c r="D74" s="121">
        <f t="shared" si="283"/>
        <v>-23320.224999999999</v>
      </c>
      <c r="E74" s="121">
        <f t="shared" si="283"/>
        <v>-23335.678375</v>
      </c>
      <c r="F74" s="121">
        <f t="shared" si="283"/>
        <v>-10946.363550624999</v>
      </c>
      <c r="G74" s="121">
        <f t="shared" si="283"/>
        <v>-10962.284003884375</v>
      </c>
      <c r="H74" s="121">
        <f t="shared" si="283"/>
        <v>72735.347632611767</v>
      </c>
      <c r="I74" s="121">
        <f t="shared" si="283"/>
        <v>78836.761625044921</v>
      </c>
      <c r="J74" s="121">
        <f t="shared" si="283"/>
        <v>85058.929402734808</v>
      </c>
      <c r="K74" s="121">
        <f t="shared" si="283"/>
        <v>96308.50298602879</v>
      </c>
      <c r="L74" s="121">
        <f t="shared" si="283"/>
        <v>122788.27850604465</v>
      </c>
      <c r="M74" s="121">
        <f t="shared" si="283"/>
        <v>134501.4229708905</v>
      </c>
      <c r="N74" s="121">
        <f t="shared" si="283"/>
        <v>145812.90898640899</v>
      </c>
      <c r="O74" s="121">
        <f t="shared" si="283"/>
        <v>157318.06860545417</v>
      </c>
      <c r="P74" s="121">
        <f t="shared" si="283"/>
        <v>184020.9159705831</v>
      </c>
      <c r="Q74" s="121">
        <f t="shared" si="283"/>
        <v>195925.98896964637</v>
      </c>
      <c r="R74" s="121">
        <f t="shared" si="283"/>
        <v>223038.42803008357</v>
      </c>
      <c r="S74" s="121">
        <f t="shared" si="283"/>
        <v>235364.06673701305</v>
      </c>
      <c r="T74" s="121">
        <f t="shared" si="283"/>
        <v>247909.5360487779</v>
      </c>
      <c r="U74" s="121">
        <f t="shared" si="283"/>
        <v>275682.38414966234</v>
      </c>
      <c r="V74" s="121">
        <f t="shared" si="283"/>
        <v>288691.2142854493</v>
      </c>
      <c r="W74" s="121">
        <f t="shared" si="283"/>
        <v>306830.20606135263</v>
      </c>
      <c r="X74" s="121">
        <f t="shared" si="283"/>
        <v>340310.81048187939</v>
      </c>
      <c r="Y74" s="121">
        <f t="shared" si="283"/>
        <v>374146.14577428874</v>
      </c>
      <c r="Z74" s="121">
        <f t="shared" ref="Z74" si="284">-Z72+Z73</f>
        <v>392297.42033958645</v>
      </c>
      <c r="AA74" s="121">
        <f t="shared" ref="AA74" si="285">-AA72+AA73</f>
        <v>425766.67385024461</v>
      </c>
      <c r="AB74" s="121">
        <f t="shared" ref="AB74" si="286">-AB72+AB73</f>
        <v>444572.59138744988</v>
      </c>
      <c r="AC74" s="121">
        <f t="shared" ref="AC74" si="287">-AC72+AC73</f>
        <v>478736.58553680551</v>
      </c>
      <c r="AD74" s="121">
        <f t="shared" ref="AD74" si="288">-AD72+AD73</f>
        <v>498283.20580886217</v>
      </c>
      <c r="AE74" s="121">
        <f t="shared" ref="AE74" si="289">-AE72+AE73</f>
        <v>533240.60947862477</v>
      </c>
      <c r="AF74" s="121">
        <f t="shared" ref="AF74" si="290">-AF72+AF73</f>
        <v>553641.1030570023</v>
      </c>
      <c r="AG74" s="121">
        <f t="shared" ref="AG74" si="291">-AG72+AG73</f>
        <v>589521.76498910843</v>
      </c>
      <c r="AH74" s="121">
        <f t="shared" ref="AH74" si="292">-AH72+AH73</f>
        <v>625925.16176356678</v>
      </c>
      <c r="AI74" s="121">
        <f t="shared" ref="AI74" si="293">-AI72+AI73</f>
        <v>650818.72895878379</v>
      </c>
      <c r="AJ74" s="121">
        <f t="shared" ref="AJ74" si="294">-AJ72+AJ73</f>
        <v>691378.68626546708</v>
      </c>
      <c r="AK74" s="121">
        <f t="shared" ref="AK74" si="295">-AK72+AK73</f>
        <v>732669.63817269588</v>
      </c>
      <c r="AL74" s="121">
        <f t="shared" ref="AL74" si="296">-AL72+AL73</f>
        <v>773962.76759401558</v>
      </c>
      <c r="AM74" s="121">
        <f t="shared" ref="AM74" si="297">-AM72+AM73</f>
        <v>801106.26307351387</v>
      </c>
      <c r="AN74" s="121">
        <f t="shared" ref="AN74" si="298">-AN72+AN73</f>
        <v>844196.77521082549</v>
      </c>
      <c r="AO74" s="121">
        <f t="shared" ref="AO74" si="299">-AO72+AO73</f>
        <v>888345.38449261116</v>
      </c>
      <c r="AP74" s="121">
        <f t="shared" ref="AP74" si="300">-AP72+AP73</f>
        <v>933679.76614957314</v>
      </c>
      <c r="AQ74" s="121">
        <f t="shared" ref="AQ74" si="301">-AQ72+AQ73</f>
        <v>980346.67974950734</v>
      </c>
      <c r="AR74" s="121">
        <f t="shared" ref="AR74" si="302">-AR72+AR73</f>
        <v>1028514.8322369368</v>
      </c>
      <c r="AS74" s="121">
        <f t="shared" ref="AS74" si="303">-AS72+AS73</f>
        <v>1078378.1704364764</v>
      </c>
      <c r="AT74" s="121">
        <f t="shared" ref="AT74" si="304">-AT72+AT73</f>
        <v>1130159.6674396351</v>
      </c>
      <c r="AU74" s="121">
        <f t="shared" ref="AU74" si="305">-AU72+AU73</f>
        <v>1134427.4436139667</v>
      </c>
    </row>
    <row r="75" spans="1:47" s="2" customFormat="1" outlineLevel="1" x14ac:dyDescent="0.25">
      <c r="A75" s="17" t="s">
        <v>402</v>
      </c>
      <c r="B75" s="121">
        <f>B74</f>
        <v>-23290</v>
      </c>
      <c r="C75" s="121">
        <f>B75+C74</f>
        <v>-46595</v>
      </c>
      <c r="D75" s="121">
        <f t="shared" ref="D75:Y75" si="306">C75+D74</f>
        <v>-69915.225000000006</v>
      </c>
      <c r="E75" s="121">
        <f t="shared" si="306"/>
        <v>-93250.903375000009</v>
      </c>
      <c r="F75" s="121">
        <f t="shared" si="306"/>
        <v>-104197.26692562501</v>
      </c>
      <c r="G75" s="121">
        <f t="shared" si="306"/>
        <v>-115159.55092950938</v>
      </c>
      <c r="H75" s="121">
        <f t="shared" si="306"/>
        <v>-42424.203296897613</v>
      </c>
      <c r="I75" s="121">
        <f t="shared" si="306"/>
        <v>36412.558328147308</v>
      </c>
      <c r="J75" s="121">
        <f t="shared" si="306"/>
        <v>121471.48773088212</v>
      </c>
      <c r="K75" s="121">
        <f t="shared" si="306"/>
        <v>217779.99071691092</v>
      </c>
      <c r="L75" s="121">
        <f t="shared" si="306"/>
        <v>340568.26922295557</v>
      </c>
      <c r="M75" s="121">
        <f t="shared" si="306"/>
        <v>475069.6921938461</v>
      </c>
      <c r="N75" s="121">
        <f t="shared" si="306"/>
        <v>620882.60118025506</v>
      </c>
      <c r="O75" s="121">
        <f t="shared" si="306"/>
        <v>778200.66978570924</v>
      </c>
      <c r="P75" s="121">
        <f t="shared" si="306"/>
        <v>962221.58575629233</v>
      </c>
      <c r="Q75" s="121">
        <f t="shared" si="306"/>
        <v>1158147.5747259387</v>
      </c>
      <c r="R75" s="121">
        <f t="shared" si="306"/>
        <v>1381186.0027560224</v>
      </c>
      <c r="S75" s="121">
        <f t="shared" si="306"/>
        <v>1616550.0694930353</v>
      </c>
      <c r="T75" s="121">
        <f t="shared" si="306"/>
        <v>1864459.6055418132</v>
      </c>
      <c r="U75" s="121">
        <f t="shared" si="306"/>
        <v>2140141.9896914754</v>
      </c>
      <c r="V75" s="121">
        <f t="shared" si="306"/>
        <v>2428833.2039769245</v>
      </c>
      <c r="W75" s="121">
        <f t="shared" si="306"/>
        <v>2735663.410038277</v>
      </c>
      <c r="X75" s="121">
        <f t="shared" si="306"/>
        <v>3075974.2205201564</v>
      </c>
      <c r="Y75" s="121">
        <f t="shared" si="306"/>
        <v>3450120.366294445</v>
      </c>
      <c r="Z75" s="121">
        <f t="shared" ref="Z75" si="307">Y75+Z74</f>
        <v>3842417.7866340317</v>
      </c>
      <c r="AA75" s="121">
        <f t="shared" ref="AA75" si="308">Z75+AA74</f>
        <v>4268184.4604842765</v>
      </c>
      <c r="AB75" s="121">
        <f t="shared" ref="AB75" si="309">AA75+AB74</f>
        <v>4712757.0518717263</v>
      </c>
      <c r="AC75" s="121">
        <f t="shared" ref="AC75" si="310">AB75+AC74</f>
        <v>5191493.6374085322</v>
      </c>
      <c r="AD75" s="121">
        <f t="shared" ref="AD75" si="311">AC75+AD74</f>
        <v>5689776.8432173943</v>
      </c>
      <c r="AE75" s="121">
        <f t="shared" ref="AE75" si="312">AD75+AE74</f>
        <v>6223017.4526960189</v>
      </c>
      <c r="AF75" s="121">
        <f t="shared" ref="AF75" si="313">AE75+AF74</f>
        <v>6776658.5557530215</v>
      </c>
      <c r="AG75" s="121">
        <f t="shared" ref="AG75" si="314">AF75+AG74</f>
        <v>7366180.3207421303</v>
      </c>
      <c r="AH75" s="121">
        <f t="shared" ref="AH75" si="315">AG75+AH74</f>
        <v>7992105.4825056968</v>
      </c>
      <c r="AI75" s="121">
        <f t="shared" ref="AI75" si="316">AH75+AI74</f>
        <v>8642924.2114644814</v>
      </c>
      <c r="AJ75" s="121">
        <f t="shared" ref="AJ75" si="317">AI75+AJ74</f>
        <v>9334302.8977299482</v>
      </c>
      <c r="AK75" s="121">
        <f t="shared" ref="AK75" si="318">AJ75+AK74</f>
        <v>10066972.535902644</v>
      </c>
      <c r="AL75" s="121">
        <f t="shared" ref="AL75" si="319">AK75+AL74</f>
        <v>10840935.303496659</v>
      </c>
      <c r="AM75" s="121">
        <f t="shared" ref="AM75" si="320">AL75+AM74</f>
        <v>11642041.566570172</v>
      </c>
      <c r="AN75" s="121">
        <f t="shared" ref="AN75" si="321">AM75+AN74</f>
        <v>12486238.341780998</v>
      </c>
      <c r="AO75" s="121">
        <f t="shared" ref="AO75" si="322">AN75+AO74</f>
        <v>13374583.726273609</v>
      </c>
      <c r="AP75" s="121">
        <f t="shared" ref="AP75" si="323">AO75+AP74</f>
        <v>14308263.492423182</v>
      </c>
      <c r="AQ75" s="121">
        <f t="shared" ref="AQ75" si="324">AP75+AQ74</f>
        <v>15288610.17217269</v>
      </c>
      <c r="AR75" s="121">
        <f t="shared" ref="AR75" si="325">AQ75+AR74</f>
        <v>16317125.004409626</v>
      </c>
      <c r="AS75" s="121">
        <f t="shared" ref="AS75" si="326">AR75+AS74</f>
        <v>17395503.174846102</v>
      </c>
      <c r="AT75" s="121">
        <f t="shared" ref="AT75" si="327">AS75+AT74</f>
        <v>18525662.842285737</v>
      </c>
      <c r="AU75" s="121">
        <f t="shared" ref="AU75" si="328">AT75+AU74</f>
        <v>19660090.285899702</v>
      </c>
    </row>
    <row r="76" spans="1:47" outlineLevel="1" x14ac:dyDescent="0.25"/>
    <row r="77" spans="1:47" outlineLevel="1" x14ac:dyDescent="0.25">
      <c r="A77" s="17" t="s">
        <v>410</v>
      </c>
      <c r="B77" s="232">
        <f>COUNTIF(B74:Y74,"&lt;=0")</f>
        <v>6</v>
      </c>
    </row>
    <row r="78" spans="1:47" outlineLevel="1" x14ac:dyDescent="0.25">
      <c r="A78" s="17" t="s">
        <v>409</v>
      </c>
      <c r="B78" s="232">
        <f>COUNTIF(B75:Y75,"&lt;=0")</f>
        <v>7</v>
      </c>
    </row>
  </sheetData>
  <dataConsolidate/>
  <mergeCells count="24">
    <mergeCell ref="I11:J11"/>
    <mergeCell ref="B12:C12"/>
    <mergeCell ref="I12:J12"/>
    <mergeCell ref="B13:C13"/>
    <mergeCell ref="I13:J13"/>
    <mergeCell ref="I10:J10"/>
    <mergeCell ref="I3:J3"/>
    <mergeCell ref="B4:C4"/>
    <mergeCell ref="I4:J4"/>
    <mergeCell ref="B5:C5"/>
    <mergeCell ref="I5:J5"/>
    <mergeCell ref="B6:C6"/>
    <mergeCell ref="I6:J6"/>
    <mergeCell ref="I7:J7"/>
    <mergeCell ref="B8:C8"/>
    <mergeCell ref="I8:J8"/>
    <mergeCell ref="B9:C9"/>
    <mergeCell ref="I9:J9"/>
    <mergeCell ref="E21:F21"/>
    <mergeCell ref="B3:C3"/>
    <mergeCell ref="G3:H3"/>
    <mergeCell ref="B7:C7"/>
    <mergeCell ref="B11:C11"/>
    <mergeCell ref="B10:C10"/>
  </mergeCells>
  <conditionalFormatting sqref="B69:AU6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:AU7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:AU7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7:B78">
    <cfRule type="colorScale" priority="1">
      <colorScale>
        <cfvo type="min"/>
        <cfvo type="max"/>
        <color rgb="FF63BE7B"/>
        <color rgb="FFFFEF9C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65E23-EAF2-9440-B432-D3C2654CF9DB}">
  <sheetPr>
    <tabColor theme="6"/>
  </sheetPr>
  <dimension ref="A1:BD78"/>
  <sheetViews>
    <sheetView showGridLines="0" topLeftCell="A12" zoomScale="150" zoomScaleNormal="90" workbookViewId="0">
      <selection activeCell="B27" sqref="B27"/>
    </sheetView>
  </sheetViews>
  <sheetFormatPr baseColWidth="10" defaultColWidth="9.1640625" defaultRowHeight="16" outlineLevelRow="2" x14ac:dyDescent="0.25"/>
  <cols>
    <col min="1" max="1" width="33.83203125" style="1" bestFit="1" customWidth="1"/>
    <col min="2" max="3" width="10.33203125" style="1" customWidth="1"/>
    <col min="4" max="4" width="11.5" style="1" customWidth="1"/>
    <col min="5" max="5" width="11.1640625" style="1" customWidth="1"/>
    <col min="6" max="6" width="10.6640625" style="1" customWidth="1"/>
    <col min="7" max="7" width="11.6640625" style="1" customWidth="1"/>
    <col min="8" max="8" width="10.83203125" style="1" customWidth="1"/>
    <col min="9" max="9" width="10.6640625" style="1" customWidth="1"/>
    <col min="10" max="10" width="11.5" style="1" customWidth="1"/>
    <col min="11" max="12" width="11.33203125" style="1" customWidth="1"/>
    <col min="13" max="13" width="12.5" style="1" customWidth="1"/>
    <col min="14" max="14" width="10.6640625" style="1" bestFit="1" customWidth="1"/>
    <col min="15" max="15" width="11.83203125" style="1" bestFit="1" customWidth="1"/>
    <col min="16" max="19" width="10.83203125" style="1" bestFit="1" customWidth="1"/>
    <col min="20" max="23" width="10.1640625" style="1" bestFit="1" customWidth="1"/>
    <col min="24" max="26" width="11.6640625" style="1" bestFit="1" customWidth="1"/>
    <col min="27" max="40" width="11.83203125" style="1" bestFit="1" customWidth="1"/>
    <col min="41" max="56" width="12.6640625" style="1" bestFit="1" customWidth="1"/>
    <col min="57" max="16384" width="9.1640625" style="1"/>
  </cols>
  <sheetData>
    <row r="1" spans="1:14" s="4" customFormat="1" x14ac:dyDescent="0.25">
      <c r="A1" s="25" t="s">
        <v>647</v>
      </c>
    </row>
    <row r="2" spans="1:14" x14ac:dyDescent="0.25">
      <c r="A2" s="30" t="s">
        <v>482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4" s="151" customFormat="1" ht="35" customHeight="1" outlineLevel="1" x14ac:dyDescent="0.25">
      <c r="A3" s="189" t="s">
        <v>363</v>
      </c>
      <c r="B3" s="582" t="s">
        <v>351</v>
      </c>
      <c r="C3" s="582"/>
      <c r="D3" s="190" t="s">
        <v>356</v>
      </c>
      <c r="E3" s="190" t="s">
        <v>352</v>
      </c>
      <c r="F3" s="190" t="s">
        <v>353</v>
      </c>
      <c r="G3" s="583" t="s">
        <v>362</v>
      </c>
      <c r="H3" s="583"/>
      <c r="I3" s="582" t="s">
        <v>351</v>
      </c>
      <c r="J3" s="582"/>
      <c r="K3" s="190" t="s">
        <v>356</v>
      </c>
      <c r="L3" s="190" t="s">
        <v>352</v>
      </c>
      <c r="M3" s="190" t="s">
        <v>353</v>
      </c>
      <c r="N3" s="23"/>
    </row>
    <row r="4" spans="1:14" s="151" customFormat="1" outlineLevel="2" x14ac:dyDescent="0.25">
      <c r="A4" s="104" t="s">
        <v>182</v>
      </c>
      <c r="B4" s="585">
        <v>1</v>
      </c>
      <c r="C4" s="585"/>
      <c r="D4" s="177">
        <v>3</v>
      </c>
      <c r="E4" s="179">
        <f>'Payroll 2020'!E357*7</f>
        <v>280</v>
      </c>
      <c r="F4" s="183">
        <f>E4*D4*B4</f>
        <v>840</v>
      </c>
      <c r="G4" s="153"/>
      <c r="H4" s="153"/>
      <c r="I4" s="586">
        <v>0</v>
      </c>
      <c r="J4" s="586"/>
      <c r="K4" s="186">
        <v>0</v>
      </c>
      <c r="L4" s="179">
        <f>E4</f>
        <v>280</v>
      </c>
      <c r="M4" s="183">
        <f>L4*K4*I4</f>
        <v>0</v>
      </c>
      <c r="N4" s="150"/>
    </row>
    <row r="5" spans="1:14" s="151" customFormat="1" outlineLevel="2" x14ac:dyDescent="0.25">
      <c r="A5" s="104" t="s">
        <v>183</v>
      </c>
      <c r="B5" s="585">
        <v>2</v>
      </c>
      <c r="C5" s="585"/>
      <c r="D5" s="177">
        <v>50</v>
      </c>
      <c r="E5" s="179">
        <f>'Payroll 2020'!E358*7</f>
        <v>196</v>
      </c>
      <c r="F5" s="183">
        <f t="shared" ref="F5:F11" si="0">E5*D5*B5</f>
        <v>19600</v>
      </c>
      <c r="G5" s="153"/>
      <c r="H5" s="153"/>
      <c r="I5" s="586">
        <v>1</v>
      </c>
      <c r="J5" s="586"/>
      <c r="K5" s="186">
        <f>B19/10</f>
        <v>6</v>
      </c>
      <c r="L5" s="179">
        <f t="shared" ref="L5:L11" si="1">E5</f>
        <v>196</v>
      </c>
      <c r="M5" s="183">
        <f t="shared" ref="M5:M11" si="2">L5*K5*I5</f>
        <v>1176</v>
      </c>
    </row>
    <row r="6" spans="1:14" s="151" customFormat="1" ht="16" customHeight="1" outlineLevel="2" x14ac:dyDescent="0.25">
      <c r="A6" s="18" t="s">
        <v>184</v>
      </c>
      <c r="B6" s="587">
        <v>1</v>
      </c>
      <c r="C6" s="587"/>
      <c r="D6" s="177">
        <v>20</v>
      </c>
      <c r="E6" s="179">
        <f>'Payroll 2020'!E361*7</f>
        <v>126</v>
      </c>
      <c r="F6" s="183">
        <f t="shared" si="0"/>
        <v>2520</v>
      </c>
      <c r="I6" s="585">
        <v>1</v>
      </c>
      <c r="J6" s="585"/>
      <c r="K6" s="185">
        <f>B19/10</f>
        <v>6</v>
      </c>
      <c r="L6" s="179">
        <f t="shared" si="1"/>
        <v>126</v>
      </c>
      <c r="M6" s="183">
        <f t="shared" si="2"/>
        <v>756</v>
      </c>
    </row>
    <row r="7" spans="1:14" s="151" customFormat="1" ht="16" customHeight="1" outlineLevel="2" x14ac:dyDescent="0.25">
      <c r="A7" s="18" t="s">
        <v>185</v>
      </c>
      <c r="B7" s="584">
        <v>1</v>
      </c>
      <c r="C7" s="584"/>
      <c r="D7" s="184">
        <f>B16</f>
        <v>180</v>
      </c>
      <c r="E7" s="180">
        <f>'Payroll 2020'!E362*7</f>
        <v>161</v>
      </c>
      <c r="F7" s="183">
        <f t="shared" si="0"/>
        <v>28980</v>
      </c>
      <c r="G7" s="150"/>
      <c r="H7" s="150"/>
      <c r="I7" s="585">
        <v>1</v>
      </c>
      <c r="J7" s="585"/>
      <c r="K7" s="185">
        <f>B19</f>
        <v>60</v>
      </c>
      <c r="L7" s="179">
        <f t="shared" si="1"/>
        <v>161</v>
      </c>
      <c r="M7" s="183">
        <f t="shared" si="2"/>
        <v>9660</v>
      </c>
    </row>
    <row r="8" spans="1:14" s="151" customFormat="1" outlineLevel="2" x14ac:dyDescent="0.25">
      <c r="A8" s="18" t="s">
        <v>189</v>
      </c>
      <c r="B8" s="585">
        <v>1</v>
      </c>
      <c r="C8" s="585"/>
      <c r="D8" s="177">
        <v>50</v>
      </c>
      <c r="E8" s="179">
        <f>'Payroll 2020'!E365*7</f>
        <v>210</v>
      </c>
      <c r="F8" s="183">
        <f t="shared" si="0"/>
        <v>10500</v>
      </c>
      <c r="G8" s="153"/>
      <c r="H8" s="153"/>
      <c r="I8" s="586">
        <v>0</v>
      </c>
      <c r="J8" s="586"/>
      <c r="K8" s="186">
        <v>0</v>
      </c>
      <c r="L8" s="179">
        <f t="shared" si="1"/>
        <v>210</v>
      </c>
      <c r="M8" s="183">
        <f t="shared" si="2"/>
        <v>0</v>
      </c>
    </row>
    <row r="9" spans="1:14" s="151" customFormat="1" outlineLevel="2" x14ac:dyDescent="0.25">
      <c r="A9" s="18" t="s">
        <v>190</v>
      </c>
      <c r="B9" s="587">
        <v>1</v>
      </c>
      <c r="C9" s="587"/>
      <c r="D9" s="184">
        <f>B16</f>
        <v>180</v>
      </c>
      <c r="E9" s="179">
        <f>'Payroll 2020'!E366*7</f>
        <v>52.5</v>
      </c>
      <c r="F9" s="183">
        <f t="shared" si="0"/>
        <v>9450</v>
      </c>
      <c r="I9" s="585">
        <v>1</v>
      </c>
      <c r="J9" s="585"/>
      <c r="K9" s="185">
        <f>B19</f>
        <v>60</v>
      </c>
      <c r="L9" s="179">
        <f t="shared" si="1"/>
        <v>52.5</v>
      </c>
      <c r="M9" s="183">
        <f t="shared" si="2"/>
        <v>3150</v>
      </c>
    </row>
    <row r="10" spans="1:14" s="154" customFormat="1" ht="17" customHeight="1" outlineLevel="2" x14ac:dyDescent="0.25">
      <c r="A10" s="18" t="s">
        <v>191</v>
      </c>
      <c r="B10" s="585">
        <v>2</v>
      </c>
      <c r="C10" s="585"/>
      <c r="D10" s="185">
        <f>B16</f>
        <v>180</v>
      </c>
      <c r="E10" s="181">
        <f>'Payroll 2020'!E367*7</f>
        <v>70</v>
      </c>
      <c r="F10" s="183">
        <f t="shared" si="0"/>
        <v>25200</v>
      </c>
      <c r="I10" s="585">
        <v>1</v>
      </c>
      <c r="J10" s="585"/>
      <c r="K10" s="185">
        <f>B19</f>
        <v>60</v>
      </c>
      <c r="L10" s="179">
        <f t="shared" si="1"/>
        <v>70</v>
      </c>
      <c r="M10" s="183">
        <f t="shared" si="2"/>
        <v>4200</v>
      </c>
    </row>
    <row r="11" spans="1:14" s="151" customFormat="1" outlineLevel="2" x14ac:dyDescent="0.25">
      <c r="A11" s="18" t="s">
        <v>350</v>
      </c>
      <c r="B11" s="585">
        <v>2</v>
      </c>
      <c r="C11" s="585"/>
      <c r="D11" s="185">
        <f>B16</f>
        <v>180</v>
      </c>
      <c r="E11" s="182">
        <f>'Payroll 2020'!E377*7</f>
        <v>52.5</v>
      </c>
      <c r="F11" s="183">
        <f t="shared" si="0"/>
        <v>18900</v>
      </c>
      <c r="G11" s="175"/>
      <c r="H11" s="175"/>
      <c r="I11" s="585">
        <v>0</v>
      </c>
      <c r="J11" s="585"/>
      <c r="K11" s="185">
        <v>0</v>
      </c>
      <c r="L11" s="179">
        <f t="shared" si="1"/>
        <v>52.5</v>
      </c>
      <c r="M11" s="183">
        <f t="shared" si="2"/>
        <v>0</v>
      </c>
    </row>
    <row r="12" spans="1:14" s="151" customFormat="1" outlineLevel="2" x14ac:dyDescent="0.25">
      <c r="A12" s="18" t="s">
        <v>194</v>
      </c>
      <c r="B12" s="588">
        <v>0</v>
      </c>
      <c r="C12" s="588"/>
      <c r="D12" s="185">
        <v>0</v>
      </c>
      <c r="E12" s="179">
        <f>'Payroll 2020'!E371*7</f>
        <v>175</v>
      </c>
      <c r="F12" s="183">
        <f>E12*D12*B12</f>
        <v>0</v>
      </c>
      <c r="H12" s="156"/>
      <c r="I12" s="586">
        <v>0</v>
      </c>
      <c r="J12" s="586"/>
      <c r="K12" s="185">
        <v>0</v>
      </c>
      <c r="L12" s="179">
        <f>E12</f>
        <v>175</v>
      </c>
      <c r="M12" s="183">
        <f>L12*K12*I12</f>
        <v>0</v>
      </c>
    </row>
    <row r="13" spans="1:14" s="151" customFormat="1" outlineLevel="1" x14ac:dyDescent="0.25">
      <c r="A13" s="17" t="s">
        <v>361</v>
      </c>
      <c r="B13" s="589">
        <f>SUM(B4:C12)</f>
        <v>11</v>
      </c>
      <c r="C13" s="589"/>
      <c r="D13" s="187">
        <f>SUM(D4:D12)</f>
        <v>843</v>
      </c>
      <c r="E13" s="178"/>
      <c r="F13" s="188">
        <f>SUM(F4:F12)</f>
        <v>115990</v>
      </c>
      <c r="H13" s="156"/>
      <c r="I13" s="589">
        <f>SUM(I4:J12)</f>
        <v>5</v>
      </c>
      <c r="J13" s="589"/>
      <c r="K13" s="187">
        <f>SUM(K4:K12)</f>
        <v>192</v>
      </c>
      <c r="L13" s="178"/>
      <c r="M13" s="188">
        <f>SUM(M4:M12)</f>
        <v>18942</v>
      </c>
    </row>
    <row r="14" spans="1:14" s="151" customFormat="1" outlineLevel="1" x14ac:dyDescent="0.25">
      <c r="B14" s="155"/>
      <c r="E14" s="150"/>
      <c r="H14" s="156"/>
      <c r="I14" s="153"/>
      <c r="J14" s="153"/>
    </row>
    <row r="15" spans="1:14" s="151" customFormat="1" outlineLevel="1" x14ac:dyDescent="0.25">
      <c r="A15" s="150" t="s">
        <v>354</v>
      </c>
      <c r="B15" s="176">
        <v>44228</v>
      </c>
      <c r="E15" s="150"/>
      <c r="F15" s="150" t="s">
        <v>55</v>
      </c>
      <c r="H15" s="156"/>
      <c r="I15" s="153"/>
      <c r="J15" s="153"/>
    </row>
    <row r="16" spans="1:14" s="151" customFormat="1" outlineLevel="1" x14ac:dyDescent="0.25">
      <c r="A16" s="151" t="s">
        <v>356</v>
      </c>
      <c r="B16" s="173">
        <v>180</v>
      </c>
      <c r="C16" s="151">
        <f>ROUND(B16/31,0)</f>
        <v>6</v>
      </c>
      <c r="D16" s="151" t="s">
        <v>236</v>
      </c>
      <c r="F16" s="151" t="s">
        <v>366</v>
      </c>
      <c r="I16" s="183">
        <v>1000</v>
      </c>
      <c r="J16" s="151" t="s">
        <v>257</v>
      </c>
    </row>
    <row r="17" spans="1:14" s="151" customFormat="1" outlineLevel="1" x14ac:dyDescent="0.25">
      <c r="A17" s="151" t="s">
        <v>355</v>
      </c>
      <c r="B17" s="176">
        <f>B15+B16</f>
        <v>44408</v>
      </c>
      <c r="E17" s="150"/>
      <c r="F17" s="151" t="s">
        <v>256</v>
      </c>
      <c r="H17" s="156"/>
      <c r="I17" s="192">
        <v>1.4999999999999999E-2</v>
      </c>
      <c r="J17" s="151" t="s">
        <v>257</v>
      </c>
    </row>
    <row r="18" spans="1:14" s="151" customFormat="1" outlineLevel="1" x14ac:dyDescent="0.25">
      <c r="A18" s="150" t="s">
        <v>357</v>
      </c>
      <c r="B18" s="176">
        <f>B17+1</f>
        <v>44409</v>
      </c>
      <c r="F18" s="151" t="s">
        <v>365</v>
      </c>
      <c r="I18" s="193">
        <v>0.02</v>
      </c>
      <c r="J18" s="151" t="s">
        <v>257</v>
      </c>
    </row>
    <row r="19" spans="1:14" s="151" customFormat="1" outlineLevel="1" x14ac:dyDescent="0.25">
      <c r="A19" s="151" t="s">
        <v>356</v>
      </c>
      <c r="B19" s="173">
        <v>60</v>
      </c>
      <c r="C19" s="151">
        <f>ROUND(B19/31,0)</f>
        <v>2</v>
      </c>
      <c r="D19" s="151" t="s">
        <v>236</v>
      </c>
      <c r="F19" s="150" t="s">
        <v>469</v>
      </c>
      <c r="I19" s="176">
        <f>B20+1</f>
        <v>44470</v>
      </c>
    </row>
    <row r="20" spans="1:14" s="151" customFormat="1" outlineLevel="1" x14ac:dyDescent="0.25">
      <c r="A20" s="151" t="s">
        <v>358</v>
      </c>
      <c r="B20" s="176">
        <f>B18+B19</f>
        <v>44469</v>
      </c>
      <c r="F20" s="151" t="s">
        <v>468</v>
      </c>
      <c r="I20" s="183">
        <v>15000</v>
      </c>
      <c r="J20" s="151" t="s">
        <v>257</v>
      </c>
    </row>
    <row r="21" spans="1:14" s="151" customFormat="1" outlineLevel="1" x14ac:dyDescent="0.25">
      <c r="B21" s="176"/>
    </row>
    <row r="22" spans="1:14" x14ac:dyDescent="0.25">
      <c r="A22" s="30" t="s">
        <v>377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</row>
    <row r="23" spans="1:14" s="151" customFormat="1" outlineLevel="1" x14ac:dyDescent="0.25">
      <c r="A23" s="151" t="s">
        <v>380</v>
      </c>
      <c r="B23" s="192">
        <v>7.0000000000000001E-3</v>
      </c>
      <c r="F23" s="150" t="s">
        <v>381</v>
      </c>
    </row>
    <row r="24" spans="1:14" s="151" customFormat="1" outlineLevel="1" x14ac:dyDescent="0.25">
      <c r="A24" s="151" t="s">
        <v>413</v>
      </c>
      <c r="B24" s="192">
        <v>0.05</v>
      </c>
      <c r="F24" s="151" t="s">
        <v>382</v>
      </c>
      <c r="I24" s="183">
        <v>1500</v>
      </c>
      <c r="J24" s="151" t="s">
        <v>257</v>
      </c>
    </row>
    <row r="25" spans="1:14" s="151" customFormat="1" outlineLevel="1" x14ac:dyDescent="0.25">
      <c r="A25" s="151" t="s">
        <v>414</v>
      </c>
      <c r="B25" s="192">
        <v>0.08</v>
      </c>
      <c r="F25" s="151" t="s">
        <v>383</v>
      </c>
      <c r="I25" s="183">
        <v>6000</v>
      </c>
      <c r="J25" s="151" t="s">
        <v>257</v>
      </c>
    </row>
    <row r="26" spans="1:14" s="151" customFormat="1" outlineLevel="1" x14ac:dyDescent="0.25">
      <c r="A26" s="151" t="s">
        <v>415</v>
      </c>
      <c r="B26" s="192">
        <v>0.05</v>
      </c>
      <c r="F26" s="151" t="s">
        <v>384</v>
      </c>
      <c r="I26" s="183">
        <v>70000</v>
      </c>
      <c r="J26" s="151" t="s">
        <v>257</v>
      </c>
    </row>
    <row r="27" spans="1:14" s="151" customFormat="1" outlineLevel="1" x14ac:dyDescent="0.25">
      <c r="A27" s="151" t="s">
        <v>416</v>
      </c>
      <c r="B27" s="192">
        <v>0.03</v>
      </c>
    </row>
    <row r="28" spans="1:14" s="151" customFormat="1" outlineLevel="1" x14ac:dyDescent="0.25">
      <c r="B28" s="192"/>
      <c r="F28" s="150" t="s">
        <v>385</v>
      </c>
    </row>
    <row r="29" spans="1:14" s="151" customFormat="1" outlineLevel="1" x14ac:dyDescent="0.25">
      <c r="B29" s="176"/>
      <c r="F29" s="151" t="s">
        <v>382</v>
      </c>
      <c r="I29" s="153">
        <v>0.6</v>
      </c>
    </row>
    <row r="30" spans="1:14" s="151" customFormat="1" outlineLevel="1" x14ac:dyDescent="0.25">
      <c r="A30" s="151" t="s">
        <v>396</v>
      </c>
      <c r="B30" s="193">
        <v>0.2</v>
      </c>
      <c r="C30" s="151" t="s">
        <v>397</v>
      </c>
      <c r="F30" s="151" t="s">
        <v>383</v>
      </c>
      <c r="I30" s="153">
        <v>0.37</v>
      </c>
    </row>
    <row r="31" spans="1:14" s="151" customFormat="1" outlineLevel="1" x14ac:dyDescent="0.25">
      <c r="A31" s="151" t="s">
        <v>399</v>
      </c>
      <c r="B31" s="193">
        <v>0.02</v>
      </c>
      <c r="F31" s="151" t="s">
        <v>384</v>
      </c>
      <c r="I31" s="153">
        <v>0.03</v>
      </c>
    </row>
    <row r="32" spans="1:14" s="151" customFormat="1" outlineLevel="1" x14ac:dyDescent="0.25">
      <c r="A32" s="151" t="s">
        <v>674</v>
      </c>
      <c r="B32" s="193">
        <v>0.2</v>
      </c>
      <c r="C32" s="151" t="s">
        <v>675</v>
      </c>
      <c r="I32" s="153"/>
    </row>
    <row r="33" spans="1:56" s="151" customFormat="1" outlineLevel="1" x14ac:dyDescent="0.25">
      <c r="I33" s="153"/>
    </row>
    <row r="34" spans="1:56" s="151" customFormat="1" x14ac:dyDescent="0.25">
      <c r="A34" s="27" t="s">
        <v>379</v>
      </c>
      <c r="B34" s="76">
        <f>B37</f>
        <v>44228</v>
      </c>
      <c r="C34" s="76">
        <f t="shared" ref="C34:BD34" si="3">C37</f>
        <v>44259</v>
      </c>
      <c r="D34" s="76">
        <f t="shared" si="3"/>
        <v>44290</v>
      </c>
      <c r="E34" s="76">
        <f t="shared" si="3"/>
        <v>44321</v>
      </c>
      <c r="F34" s="76">
        <f t="shared" si="3"/>
        <v>44352</v>
      </c>
      <c r="G34" s="76">
        <f t="shared" si="3"/>
        <v>44383</v>
      </c>
      <c r="H34" s="76">
        <f t="shared" si="3"/>
        <v>44414</v>
      </c>
      <c r="I34" s="76">
        <f t="shared" si="3"/>
        <v>44445</v>
      </c>
      <c r="J34" s="76">
        <f t="shared" si="3"/>
        <v>44476</v>
      </c>
      <c r="K34" s="76">
        <f t="shared" si="3"/>
        <v>44507</v>
      </c>
      <c r="L34" s="76">
        <f t="shared" si="3"/>
        <v>44538</v>
      </c>
      <c r="M34" s="76">
        <f t="shared" si="3"/>
        <v>44569</v>
      </c>
      <c r="N34" s="76">
        <f t="shared" si="3"/>
        <v>44600</v>
      </c>
      <c r="O34" s="76">
        <f t="shared" si="3"/>
        <v>44631</v>
      </c>
      <c r="P34" s="76">
        <f t="shared" si="3"/>
        <v>44662</v>
      </c>
      <c r="Q34" s="76">
        <f t="shared" si="3"/>
        <v>44693</v>
      </c>
      <c r="R34" s="76">
        <f t="shared" si="3"/>
        <v>44724</v>
      </c>
      <c r="S34" s="76">
        <f t="shared" si="3"/>
        <v>44755</v>
      </c>
      <c r="T34" s="76">
        <f t="shared" si="3"/>
        <v>44786</v>
      </c>
      <c r="U34" s="76">
        <f t="shared" si="3"/>
        <v>44817</v>
      </c>
      <c r="V34" s="76">
        <f t="shared" si="3"/>
        <v>44848</v>
      </c>
      <c r="W34" s="76">
        <f t="shared" si="3"/>
        <v>44879</v>
      </c>
      <c r="X34" s="76">
        <f t="shared" si="3"/>
        <v>44910</v>
      </c>
      <c r="Y34" s="76">
        <f t="shared" si="3"/>
        <v>44941</v>
      </c>
      <c r="Z34" s="76">
        <f t="shared" si="3"/>
        <v>44972</v>
      </c>
      <c r="AA34" s="76">
        <f t="shared" si="3"/>
        <v>45003</v>
      </c>
      <c r="AB34" s="76">
        <f t="shared" si="3"/>
        <v>45034</v>
      </c>
      <c r="AC34" s="76">
        <f t="shared" si="3"/>
        <v>45065</v>
      </c>
      <c r="AD34" s="76">
        <f t="shared" si="3"/>
        <v>45096</v>
      </c>
      <c r="AE34" s="76">
        <f t="shared" si="3"/>
        <v>45127</v>
      </c>
      <c r="AF34" s="76">
        <f t="shared" si="3"/>
        <v>45158</v>
      </c>
      <c r="AG34" s="76">
        <f t="shared" si="3"/>
        <v>45189</v>
      </c>
      <c r="AH34" s="76">
        <f t="shared" si="3"/>
        <v>45220</v>
      </c>
      <c r="AI34" s="76">
        <f t="shared" si="3"/>
        <v>45251</v>
      </c>
      <c r="AJ34" s="76">
        <f t="shared" si="3"/>
        <v>45282</v>
      </c>
      <c r="AK34" s="76">
        <f t="shared" si="3"/>
        <v>45313</v>
      </c>
      <c r="AL34" s="76">
        <f t="shared" si="3"/>
        <v>45344</v>
      </c>
      <c r="AM34" s="76">
        <f t="shared" si="3"/>
        <v>45375</v>
      </c>
      <c r="AN34" s="76">
        <f t="shared" si="3"/>
        <v>45406</v>
      </c>
      <c r="AO34" s="76">
        <f t="shared" si="3"/>
        <v>45437</v>
      </c>
      <c r="AP34" s="76">
        <f t="shared" si="3"/>
        <v>45468</v>
      </c>
      <c r="AQ34" s="76">
        <f t="shared" si="3"/>
        <v>45499</v>
      </c>
      <c r="AR34" s="76">
        <f t="shared" si="3"/>
        <v>45530</v>
      </c>
      <c r="AS34" s="76">
        <f t="shared" si="3"/>
        <v>45561</v>
      </c>
      <c r="AT34" s="76">
        <f t="shared" si="3"/>
        <v>45592</v>
      </c>
      <c r="AU34" s="76">
        <f t="shared" si="3"/>
        <v>45623</v>
      </c>
      <c r="AV34" s="76">
        <f t="shared" si="3"/>
        <v>45654</v>
      </c>
      <c r="AW34" s="76">
        <f t="shared" si="3"/>
        <v>45685</v>
      </c>
      <c r="AX34" s="76">
        <f t="shared" si="3"/>
        <v>45716</v>
      </c>
      <c r="AY34" s="76">
        <f t="shared" si="3"/>
        <v>45747</v>
      </c>
      <c r="AZ34" s="76">
        <f t="shared" si="3"/>
        <v>45778</v>
      </c>
      <c r="BA34" s="76">
        <f t="shared" si="3"/>
        <v>45809</v>
      </c>
      <c r="BB34" s="76">
        <f t="shared" si="3"/>
        <v>45840</v>
      </c>
      <c r="BC34" s="76">
        <f t="shared" si="3"/>
        <v>45871</v>
      </c>
      <c r="BD34" s="76">
        <f t="shared" si="3"/>
        <v>45902</v>
      </c>
    </row>
    <row r="35" spans="1:56" s="151" customFormat="1" outlineLevel="1" x14ac:dyDescent="0.25">
      <c r="A35" s="446" t="s">
        <v>379</v>
      </c>
      <c r="B35" s="460" t="str" cm="1">
        <f t="array" ref="B35">IF(AND(SUM(B56:B57)&gt;0,A35="0"),"0",IF(AND(B56:B57=0,A35="0"),$B$23,IF(AND(SUM(B56:B57)=0,A35=$B$23),A35*(1+$B$24),IF(AND(SUM(B56:B57)=0,A35&gt;$B$23),A35*(1+$B$25),"0"))))</f>
        <v>0</v>
      </c>
      <c r="C35" s="460" t="str" cm="1">
        <f t="array" ref="C35">IF(AND(SUM(C56:C57)&gt;0,B35="0"),"0",IF(AND(C56:C57=0,B35="0"),$B$23,IF(AND(SUM(C56:C57)=0,B35=$B$23),B35*(1+$B$24),IF(AND(SUM(C56:C57)=0,B35&gt;$B$23),B35*(1+$B$25),"0"))))</f>
        <v>0</v>
      </c>
      <c r="D35" s="460" t="str" cm="1">
        <f t="array" ref="D35">IF(AND(SUM(D56:D57)&gt;0,C35="0"),"0",IF(AND(D56:D57=0,C35="0"),$B$23,IF(AND(SUM(D56:D57)=0,C35=$B$23),C35*(1+$B$24),IF(AND(SUM(D56:D57)=0,C35&gt;$B$23),C35*(1+$B$25),"0"))))</f>
        <v>0</v>
      </c>
      <c r="E35" s="460" t="str" cm="1">
        <f t="array" ref="E35">IF(AND(SUM(E56:E57)&gt;0,D35="0"),"0",IF(AND(E56:E57=0,D35="0"),$B$23,IF(AND(SUM(E56:E57)=0,D35=$B$23),D35*(1+$B$24),IF(AND(SUM(E56:E57)=0,D35&gt;$B$23),D35*(1+$B$25),"0"))))</f>
        <v>0</v>
      </c>
      <c r="F35" s="460" t="str" cm="1">
        <f t="array" ref="F35">IF(AND(SUM(F56:F57)&gt;0,E35="0"),"0",IF(AND(F56:F57=0,E35="0"),$B$23,IF(AND(SUM(F56:F57)=0,E35=$B$23),E35*(1+$B$24),IF(AND(SUM(F56:F57)=0,E35&gt;$B$23),E35*(1+$B$25),"0"))))</f>
        <v>0</v>
      </c>
      <c r="G35" s="460" t="str" cm="1">
        <f t="array" ref="G35">IF(AND(SUM(G56:G57)&gt;0,F35="0"),"0",IF(AND(G56:G57=0,F35="0"),$B$23,IF(AND(SUM(G56:G57)=0,F35=$B$23),F35*(1+$B$24),IF(AND(SUM(G56:G57)=0,F35&gt;$B$23),F35*(1+$B$25),"0"))))</f>
        <v>0</v>
      </c>
      <c r="H35" s="460" t="str" cm="1">
        <f t="array" ref="H35">IF(AND(SUM(H56:H57)&gt;0,G35="0"),"0",IF(AND(H56:H57=0,G35="0"),$B$23,IF(AND(SUM(H56:H57)=0,G35=$B$23),G35*(1+$B$24),IF(AND(SUM(H56:H57)=0,G35&gt;$B$23),G35*(1+$B$25),"0"))))</f>
        <v>0</v>
      </c>
      <c r="I35" s="460" t="str" cm="1">
        <f t="array" ref="I35">IF(AND(SUM(I56:I57)&gt;0,H35="0"),"0",IF(AND(I56:I57=0,H35="0"),$B$23,IF(AND(SUM(I56:I57)=0,H35=$B$23),H35*(1+$B$24),IF(AND(SUM(I56:I57)=0,H35&gt;$B$23),H35*(1+$B$25),"0"))))</f>
        <v>0</v>
      </c>
      <c r="J35" s="233" cm="1">
        <f t="array" ref="J35">IF(AND(SUM(J56:J57)&gt;0,I35="0"),"0",IF(AND(J56:J57=0,I35="0"),$B$23,IF(AND(SUM(J56:J57)=0,I35=$B$23),I35*(1+$B$24),IF(AND(SUM(J56:J57)=0,I35&gt;$B$23),I35*(1+$B$25),"0"))))</f>
        <v>7.0000000000000001E-3</v>
      </c>
      <c r="K35" s="233" cm="1">
        <f t="array" ref="K35">IF(AND(SUM(K56:K57)&gt;0,J35="0"),"0",IF(AND(K56:K57=0,J35="0"),$B$23,IF(AND(SUM(K56:K57)=0,J35=$B$23),J35*(1+$B$24),IF(AND(SUM(K56:K57)=0,J35&gt;$B$23),J35*(1+$B$25),"0"))))</f>
        <v>7.3500000000000006E-3</v>
      </c>
      <c r="L35" s="233" cm="1">
        <f t="array" ref="L35">IF(AND(SUM(L56:L57)&gt;0,K35="0"),"0",IF(AND(L56:L57=0,K35="0"),$B$23,IF(AND(SUM(L56:L57)=0,K35=$B$23),K35*(1+$B$24),IF(AND(SUM(L56:L57)=0,K35&gt;$B$23),K35*(1+$B$25),"0"))))</f>
        <v>7.9380000000000006E-3</v>
      </c>
      <c r="M35" s="233" cm="1">
        <f t="array" ref="M35">IF(AND(SUM(M56:M57)&gt;0,L35="0"),"0",IF(AND(M56:M57=0,L35="0"),$B$23,IF(AND(SUM(M56:M57)=0,L35=$B$23),L35*(1+$B$24),IF(AND(SUM(M56:M57)=0,L35&gt;$B$23),L35*(1+$B$25),"0"))))</f>
        <v>8.5730400000000005E-3</v>
      </c>
      <c r="N35" s="233" cm="1">
        <f t="array" ref="N35">IF(AND(SUM(N56:N57)&gt;0,M35="0"),"0",IF(AND(N56:N57=0,M35="0"),$B$23,IF(AND(SUM(N56:N57)=0,M35=$B$23),M35*(1+$B$24),IF(AND(SUM(N56:N57)=0,M35&gt;$B$23),M35*(1+$B$25),"0"))))</f>
        <v>9.2588832000000017E-3</v>
      </c>
      <c r="O35" s="233" cm="1">
        <f t="array" ref="O35">IF(AND(SUM(O56:O57)&gt;0,N35="0"),"0",IF(AND(O56:O57=0,N35="0"),$B$23,IF(AND(SUM(O56:O57)=0,N35=$B$23),N35*(1+$B$24),IF(AND(SUM(O56:O57)=0,N35&gt;$B$23),N35*(1+$B$25),"0"))))</f>
        <v>9.9995938560000028E-3</v>
      </c>
      <c r="P35" s="233" cm="1">
        <f t="array" ref="P35">IF(AND(SUM(P56:P57)&gt;0,O35="0"),"0",IF(AND(P56:P57=0,O35="0"),$B$23,IF(AND(SUM(P56:P57)=0,O35=$B$23),O35*(1+$B$24),IF(AND(SUM(P56:P57)=0,O35&gt;$B$23),O35*(1+$B$25),"0"))))</f>
        <v>1.0799561364480004E-2</v>
      </c>
      <c r="Q35" s="233" cm="1">
        <f t="array" ref="Q35">IF(AND(SUM(Q56:Q57)&gt;0,P35="0"),"0",IF(AND(Q56:Q57=0,P35="0"),$B$23,IF(AND(SUM(Q56:Q57)=0,P35=$B$23),P35*(1+$B$24),IF(AND(SUM(Q56:Q57)=0,P35&gt;$B$23),P35*(1+$B$25),"0"))))</f>
        <v>1.1663526273638406E-2</v>
      </c>
      <c r="R35" s="233" cm="1">
        <f t="array" ref="R35">IF(AND(SUM(R56:R57)&gt;0,Q35="0"),"0",IF(AND(R56:R57=0,Q35="0"),$B$23,IF(AND(SUM(R56:R57)=0,Q35=$B$23),Q35*(1+$B$24),IF(AND(SUM(R56:R57)=0,Q35&gt;$B$23),Q35*(1+$B$25),"0"))))</f>
        <v>1.2596608375529479E-2</v>
      </c>
      <c r="S35" s="233" cm="1">
        <f t="array" ref="S35">IF(AND(SUM(S56:S57)&gt;0,R35="0"),"0",IF(AND(S56:S57=0,R35="0"),$B$23,IF(AND(SUM(S56:S57)=0,R35=$B$23),R35*(1+$B$24),IF(AND(SUM(S56:S57)=0,R35&gt;$B$23),R35*(1+$B$25),"0"))))</f>
        <v>1.3604337045571839E-2</v>
      </c>
      <c r="T35" s="233" cm="1">
        <f t="array" ref="T35">IF(AND(SUM(T56:T57)&gt;0,S35="0"),"0",IF(AND(T56:T57=0,S35="0"),$B$23,IF(AND(SUM(T56:T57)=0,S35=$B$23),S35*(1+$B$24),IF(AND(SUM(T56:T57)=0,S35&gt;$B$23),S35*(1+$B$25),"0"))))</f>
        <v>1.4692684009217588E-2</v>
      </c>
      <c r="U35" s="233" cm="1">
        <f t="array" ref="U35">IF(AND(SUM(U56:U57)&gt;0,T35="0"),"0",IF(AND(U56:U57=0,T35="0"),$B$23,IF(AND(SUM(U56:U57)=0,T35=$B$23),T35*(1+$B$24),IF(AND(SUM(U56:U57)=0,T35&gt;$B$23),T35*(1+$B$25),"0"))))</f>
        <v>1.5868098729954996E-2</v>
      </c>
      <c r="V35" s="233" cm="1">
        <f t="array" ref="V35">IF(AND(SUM(V56:V57)&gt;0,U35="0"),"0",IF(AND(V56:V57=0,U35="0"),$B$23,IF(AND(SUM(V56:V57)=0,U35=$B$23),U35*(1+$B$24),IF(AND(SUM(V56:V57)=0,U35&gt;$B$23),U35*(1+$B$25),"0"))))</f>
        <v>1.7137546628351399E-2</v>
      </c>
      <c r="W35" s="233" cm="1">
        <f t="array" ref="W35">IF(AND(SUM(W56:W57)&gt;0,V35="0"),"0",IF(AND(W56:W57=0,V35="0"),$B$23,IF(AND(SUM(W56:W57)=0,V35=$B$23),V35*(1+$B$24),IF(AND(SUM(W56:W57)=0,V35&gt;$B$23),V35*(1+$B$25),"0"))))</f>
        <v>1.8508550358619511E-2</v>
      </c>
      <c r="X35" s="233" cm="1">
        <f t="array" ref="X35">IF(AND(SUM(X56:X57)&gt;0,W35="0"),"0",IF(AND(X56:X57=0,W35="0"),$B$23,IF(AND(SUM(X56:X57)=0,W35=$B$23),W35*(1+$B$24),IF(AND(SUM(X56:X57)=0,W35&gt;$B$23),W35*(1+$B$25),"0"))))</f>
        <v>1.9989234387309072E-2</v>
      </c>
      <c r="Y35" s="233" cm="1">
        <f t="array" ref="Y35">IF(AND(SUM(Y56:Y57)&gt;0,X35="0"),"0",IF(AND(Y56:Y57=0,X35="0"),$B$23,IF(AND(SUM(Y56:Y57)=0,X35=$B$23),X35*(1+$B$24),IF(AND(SUM(Y56:Y57)=0,X35&gt;$B$23),X35*(1+$B$25),"0"))))</f>
        <v>2.1588373138293798E-2</v>
      </c>
      <c r="Z35" s="233" cm="1">
        <f t="array" ref="Z35">IF(AND(SUM(Z56:Z57)&gt;0,Y35="0"),"0",IF(AND(Z56:Z57=0,Y35="0"),$B$23,IF(AND(SUM(Z56:Z57)=0,Y35=$B$23),Y35*(1+$B$24),IF(AND(SUM(Z56:Z57)=0,Y35&gt;$B$23),Y35*(1+$B$25),"0"))))</f>
        <v>2.3315442989357303E-2</v>
      </c>
      <c r="AA35" s="233" cm="1">
        <f t="array" ref="AA35">IF(AND(SUM(AA56:AA57)&gt;0,Z35="0"),"0",IF(AND(AA56:AA57=0,Z35="0"),$B$23,IF(AND(SUM(AA56:AA57)=0,Z35=$B$23),Z35*(1+$B$24),IF(AND(SUM(AA56:AA57)=0,Z35&gt;$B$23),Z35*(1+$B$25),"0"))))</f>
        <v>2.5180678428505888E-2</v>
      </c>
      <c r="AB35" s="233" cm="1">
        <f t="array" ref="AB35">IF(AND(SUM(AB56:AB57)&gt;0,AA35="0"),"0",IF(AND(AB56:AB57=0,AA35="0"),$B$23,IF(AND(SUM(AB56:AB57)=0,AA35=$B$23),AA35*(1+$B$24),IF(AND(SUM(AB56:AB57)=0,AA35&gt;$B$23),AA35*(1+$B$25),"0"))))</f>
        <v>2.7195132702786361E-2</v>
      </c>
      <c r="AC35" s="233" cm="1">
        <f t="array" ref="AC35">IF(AND(SUM(AC56:AC57)&gt;0,AB35="0"),"0",IF(AND(AC56:AC57=0,AB35="0"),$B$23,IF(AND(SUM(AC56:AC57)=0,AB35=$B$23),AB35*(1+$B$24),IF(AND(SUM(AC56:AC57)=0,AB35&gt;$B$23),AB35*(1+$B$25),"0"))))</f>
        <v>2.9370743319009272E-2</v>
      </c>
      <c r="AD35" s="233" cm="1">
        <f t="array" ref="AD35">IF(AND(SUM(AD56:AD57)&gt;0,AC35="0"),"0",IF(AND(AD56:AD57=0,AC35="0"),$B$23,IF(AND(SUM(AD56:AD57)=0,AC35=$B$23),AC35*(1+$B$24),IF(AND(SUM(AD56:AD57)=0,AC35&gt;$B$23),AC35*(1+$B$25),"0"))))</f>
        <v>3.1720402784530012E-2</v>
      </c>
      <c r="AE35" s="233" cm="1">
        <f t="array" ref="AE35">IF(AND(SUM(AE56:AE57)&gt;0,AD35="0"),"0",IF(AND(AE56:AE57=0,AD35="0"),$B$23,IF(AND(SUM(AE56:AE57)=0,AD35=$B$23),AD35*(1+$B$24),IF(AND(SUM(AE56:AE57)=0,AD35&gt;$B$23),AD35*(1+$B$25),"0"))))</f>
        <v>3.4258035007292416E-2</v>
      </c>
      <c r="AF35" s="233" cm="1">
        <f t="array" ref="AF35">IF(AND(SUM(AF56:AF57)&gt;0,AE35="0"),"0",IF(AND(AF56:AF57=0,AE35="0"),$B$23,IF(AND(SUM(AF56:AF57)=0,AE35=$B$23),AE35*(1+$B$24),IF(AND(SUM(AF56:AF57)=0,AE35&gt;$B$23),AE35*(1+$B$25),"0"))))</f>
        <v>3.6998677807875809E-2</v>
      </c>
      <c r="AG35" s="233" cm="1">
        <f t="array" ref="AG35">IF(AND(SUM(AG56:AG57)&gt;0,AF35="0"),"0",IF(AND(AG56:AG57=0,AF35="0"),$B$23,IF(AND(SUM(AG56:AG57)=0,AF35=$B$23),AF35*(1+$B$24),IF(AND(SUM(AG56:AG57)=0,AF35&gt;$B$23),AF35*(1+$B$25),"0"))))</f>
        <v>3.9958572032505878E-2</v>
      </c>
      <c r="AH35" s="233" cm="1">
        <f t="array" ref="AH35">IF(AND(SUM(AH56:AH57)&gt;0,AG35="0"),"0",IF(AND(AH56:AH57=0,AG35="0"),$B$23,IF(AND(SUM(AH56:AH57)=0,AG35=$B$23),AG35*(1+$B$24),IF(AND(SUM(AH56:AH57)=0,AG35&gt;$B$23),AG35*(1+$B$25),"0"))))</f>
        <v>4.3155257795106351E-2</v>
      </c>
      <c r="AI35" s="233" cm="1">
        <f t="array" ref="AI35">IF(AND(SUM(AI56:AI57)&gt;0,AH35="0"),"0",IF(AND(AI56:AI57=0,AH35="0"),$B$23,IF(AND(SUM(AI56:AI57)=0,AH35=$B$23),AH35*(1+$B$24),IF(AND(SUM(AI56:AI57)=0,AH35&gt;$B$23),AH35*(1+$B$25),"0"))))</f>
        <v>4.6607678418714861E-2</v>
      </c>
      <c r="AJ35" s="233" cm="1">
        <f t="array" ref="AJ35">IF(AND(SUM(AJ56:AJ57)&gt;0,AI35="0"),"0",IF(AND(AJ56:AJ57=0,AI35="0"),$B$23,IF(AND(SUM(AJ56:AJ57)=0,AI35=$B$23),AI35*(1+$B$24),IF(AND(SUM(AJ56:AJ57)=0,AI35&gt;$B$23),AI35*(1+$B$25),"0"))))</f>
        <v>5.0336292692212056E-2</v>
      </c>
      <c r="AK35" s="233" cm="1">
        <f t="array" ref="AK35">IF(AND(SUM(AK56:AK57)&gt;0,AJ35="0"),"0",IF(AND(AK56:AK57=0,AJ35="0"),$B$23,IF(AND(SUM(AK56:AK57)=0,AJ35=$B$23),AJ35*(1+$B$24),IF(AND(SUM(AK56:AK57)=0,AJ35&gt;$B$23),AJ35*(1+$B$25),"0"))))</f>
        <v>5.4363196107589024E-2</v>
      </c>
      <c r="AL35" s="233" cm="1">
        <f t="array" ref="AL35">IF(AND(SUM(AL56:AL57)&gt;0,AK35="0"),"0",IF(AND(AL56:AL57=0,AK35="0"),$B$23,IF(AND(SUM(AL56:AL57)=0,AK35=$B$23),AK35*(1+$B$24),IF(AND(SUM(AL56:AL57)=0,AK35&gt;$B$23),AK35*(1+$B$25),"0"))))</f>
        <v>5.8712251796196151E-2</v>
      </c>
      <c r="AM35" s="233" cm="1">
        <f t="array" ref="AM35">IF(AND(SUM(AM56:AM57)&gt;0,AL35="0"),"0",IF(AND(AM56:AM57=0,AL35="0"),$B$23,IF(AND(SUM(AM56:AM57)=0,AL35=$B$23),AL35*(1+$B$24),IF(AND(SUM(AM56:AM57)=0,AL35&gt;$B$23),AL35*(1+$B$25),"0"))))</f>
        <v>6.3409231939891841E-2</v>
      </c>
      <c r="AN35" s="233" cm="1">
        <f t="array" ref="AN35">IF(AND(SUM(AN56:AN57)&gt;0,AM35="0"),"0",IF(AND(AN56:AN57=0,AM35="0"),$B$23,IF(AND(SUM(AN56:AN57)=0,AM35=$B$23),AM35*(1+$B$24),IF(AND(SUM(AN56:AN57)=0,AM35&gt;$B$23),AM35*(1+$B$25),"0"))))</f>
        <v>6.84819704950832E-2</v>
      </c>
      <c r="AO35" s="233" cm="1">
        <f t="array" ref="AO35">IF(AND(SUM(AO56:AO57)&gt;0,AN35="0"),"0",IF(AND(AO56:AO57=0,AN35="0"),$B$23,IF(AND(SUM(AO56:AO57)=0,AN35=$B$23),AN35*(1+$B$24),IF(AND(SUM(AO56:AO57)=0,AN35&gt;$B$23),AN35*(1+$B$25),"0"))))</f>
        <v>7.3960528134689854E-2</v>
      </c>
      <c r="AP35" s="233" cm="1">
        <f t="array" ref="AP35">IF(AND(SUM(AP56:AP57)&gt;0,AO35="0"),"0",IF(AND(AP56:AP57=0,AO35="0"),$B$23,IF(AND(SUM(AP56:AP57)=0,AO35=$B$23),AO35*(1+$B$24),IF(AND(SUM(AP56:AP57)=0,AO35&gt;$B$23),AO35*(1+$B$25),"0"))))</f>
        <v>7.9877370385465052E-2</v>
      </c>
      <c r="AQ35" s="233" cm="1">
        <f t="array" ref="AQ35">IF(AND(SUM(AQ56:AQ57)&gt;0,AP35="0"),"0",IF(AND(AQ56:AQ57=0,AP35="0"),$B$23,IF(AND(SUM(AQ56:AQ57)=0,AP35=$B$23),AP35*(1+$B$24),IF(AND(SUM(AQ56:AQ57)=0,AP35&gt;$B$23),AP35*(1+$B$25),"0"))))</f>
        <v>8.6267560016302258E-2</v>
      </c>
      <c r="AR35" s="233" cm="1">
        <f t="array" ref="AR35">IF(AND(SUM(AR56:AR57)&gt;0,AQ35="0"),"0",IF(AND(AR56:AR57=0,AQ35="0"),$B$23,IF(AND(SUM(AR56:AR57)=0,AQ35=$B$23),AQ35*(1+$B$24),IF(AND(SUM(AR56:AR57)=0,AQ35&gt;$B$23),AQ35*(1+$B$25),"0"))))</f>
        <v>9.3168964817606448E-2</v>
      </c>
      <c r="AS35" s="233" cm="1">
        <f t="array" ref="AS35">IF(AND(SUM(AS56:AS57)&gt;0,AR35="0"),"0",IF(AND(AS56:AS57=0,AR35="0"),$B$23,IF(AND(SUM(AS56:AS57)=0,AR35=$B$23),AR35*(1+$B$24),IF(AND(SUM(AS56:AS57)=0,AR35&gt;$B$23),AR35*(1+$B$25),"0"))))</f>
        <v>0.10062248200301498</v>
      </c>
      <c r="AT35" s="233" cm="1">
        <f t="array" ref="AT35">IF(AND(SUM(AT56:AT57)&gt;0,AS35="0"),"0",IF(AND(AT56:AT57=0,AS35="0"),$B$23,IF(AND(SUM(AT56:AT57)=0,AS35=$B$23),AS35*(1+$B$24),IF(AND(SUM(AT56:AT57)=0,AS35&gt;$B$23),AS35*(1+$B$25),"0"))))</f>
        <v>0.10867228056325619</v>
      </c>
      <c r="AU35" s="233" cm="1">
        <f t="array" ref="AU35">IF(AND(SUM(AU56:AU57)&gt;0,AT35="0"),"0",IF(AND(AU56:AU57=0,AT35="0"),$B$23,IF(AND(SUM(AU56:AU57)=0,AT35=$B$23),AT35*(1+$B$24),IF(AND(SUM(AU56:AU57)=0,AT35&gt;$B$23),AT35*(1+$B$25),"0"))))</f>
        <v>0.11736606300831669</v>
      </c>
      <c r="AV35" s="233" cm="1">
        <f t="array" ref="AV35">IF(AND(SUM(AV56:AV57)&gt;0,AU35="0"),"0",IF(AND(AV56:AV57=0,AU35="0"),$B$23,IF(AND(SUM(AV56:AV57)=0,AU35=$B$23),AU35*(1+$B$24),IF(AND(SUM(AV56:AV57)=0,AU35&gt;$B$23),AU35*(1+$B$25),"0"))))</f>
        <v>0.12675534804898203</v>
      </c>
      <c r="AW35" s="233" cm="1">
        <f t="array" ref="AW35">IF(AND(SUM(AW56:AW57)&gt;0,AV35="0"),"0",IF(AND(AW56:AW57=0,AV35="0"),$B$23,IF(AND(SUM(AW56:AW57)=0,AV35=$B$23),AV35*(1+$B$24),IF(AND(SUM(AW56:AW57)=0,AV35&gt;$B$23),AV35*(1+$B$25),"0"))))</f>
        <v>0.13689577589290061</v>
      </c>
      <c r="AX35" s="233" cm="1">
        <f t="array" ref="AX35">IF(AND(SUM(AX56:AX57)&gt;0,AW35="0"),"0",IF(AND(AX56:AX57=0,AW35="0"),$B$23,IF(AND(SUM(AX56:AX57)=0,AW35=$B$23),AW35*(1+$B$24),IF(AND(SUM(AX56:AX57)=0,AW35&gt;$B$23),AW35*(1+$B$25),"0"))))</f>
        <v>0.14784743796433267</v>
      </c>
      <c r="AY35" s="233" cm="1">
        <f t="array" ref="AY35">IF(AND(SUM(AY56:AY57)&gt;0,AX35="0"),"0",IF(AND(AY56:AY57=0,AX35="0"),$B$23,IF(AND(SUM(AY56:AY57)=0,AX35=$B$23),AX35*(1+$B$24),IF(AND(SUM(AY56:AY57)=0,AX35&gt;$B$23),AX35*(1+$B$25),"0"))))</f>
        <v>0.15967523300147929</v>
      </c>
      <c r="AZ35" s="233" cm="1">
        <f t="array" ref="AZ35">IF(AND(SUM(AZ56:AZ57)&gt;0,AY35="0"),"0",IF(AND(AZ56:AZ57=0,AY35="0"),$B$23,IF(AND(SUM(AZ56:AZ57)=0,AY35=$B$23),AY35*(1+$B$24),IF(AND(SUM(AZ56:AZ57)=0,AY35&gt;$B$23),AY35*(1+$B$25),"0"))))</f>
        <v>0.17244925164159763</v>
      </c>
      <c r="BA35" s="233" cm="1">
        <f t="array" ref="BA35">IF(AND(SUM(BA56:BA57)&gt;0,AZ35="0"),"0",IF(AND(BA56:BA57=0,AZ35="0"),$B$23,IF(AND(SUM(BA56:BA57)=0,AZ35=$B$23),AZ35*(1+$B$24),IF(AND(SUM(BA56:BA57)=0,AZ35&gt;$B$23),AZ35*(1+$B$25),"0"))))</f>
        <v>0.18624519177292545</v>
      </c>
      <c r="BB35" s="233" cm="1">
        <f t="array" ref="BB35">IF(AND(SUM(BB56:BB57)&gt;0,BA35="0"),"0",IF(AND(BB56:BB57=0,BA35="0"),$B$23,IF(AND(SUM(BB56:BB57)=0,BA35=$B$23),BA35*(1+$B$24),IF(AND(SUM(BB56:BB57)=0,BA35&gt;$B$23),BA35*(1+$B$25),"0"))))</f>
        <v>0.20114480711475949</v>
      </c>
      <c r="BC35" s="233" cm="1">
        <f t="array" ref="BC35">IF(AND(SUM(BC56:BC57)&gt;0,BB35="0"),"0",IF(AND(BC56:BC57=0,BB35="0"),$B$23,IF(AND(SUM(BC56:BC57)=0,BB35=$B$23),BB35*(1+$B$24),IF(AND(SUM(BC56:BC57)=0,BB35&gt;$B$23),BB35*(1+$B$25),"0"))))</f>
        <v>0.21723639168394027</v>
      </c>
      <c r="BD35" s="233" cm="1">
        <f t="array" ref="BD35">IF(AND(SUM(BD56:BD57)&gt;0,BC35="0"),"0",IF(AND(BD56:BD57=0,BC35="0"),$B$23,IF(AND(SUM(BD56:BD57)=0,BC35=$B$23),BC35*(1+$B$24),IF(AND(SUM(BD56:BD57)=0,BC35&gt;$B$23),BC35*(1+$B$25),"0"))))</f>
        <v>0.23461530301865549</v>
      </c>
    </row>
    <row r="36" spans="1:56" s="151" customFormat="1" x14ac:dyDescent="0.25">
      <c r="B36" s="176"/>
      <c r="I36" s="153"/>
    </row>
    <row r="37" spans="1:56" s="151" customFormat="1" x14ac:dyDescent="0.25">
      <c r="A37" s="27" t="s">
        <v>394</v>
      </c>
      <c r="B37" s="76">
        <f t="shared" ref="B37:M37" si="4">B55</f>
        <v>44228</v>
      </c>
      <c r="C37" s="76">
        <f t="shared" si="4"/>
        <v>44259</v>
      </c>
      <c r="D37" s="76">
        <f t="shared" si="4"/>
        <v>44290</v>
      </c>
      <c r="E37" s="76">
        <f t="shared" si="4"/>
        <v>44321</v>
      </c>
      <c r="F37" s="76">
        <f t="shared" si="4"/>
        <v>44352</v>
      </c>
      <c r="G37" s="76">
        <f t="shared" si="4"/>
        <v>44383</v>
      </c>
      <c r="H37" s="76">
        <f t="shared" si="4"/>
        <v>44414</v>
      </c>
      <c r="I37" s="76">
        <f t="shared" si="4"/>
        <v>44445</v>
      </c>
      <c r="J37" s="76">
        <f t="shared" si="4"/>
        <v>44476</v>
      </c>
      <c r="K37" s="76">
        <f t="shared" si="4"/>
        <v>44507</v>
      </c>
      <c r="L37" s="76">
        <f t="shared" si="4"/>
        <v>44538</v>
      </c>
      <c r="M37" s="76">
        <f t="shared" si="4"/>
        <v>44569</v>
      </c>
      <c r="N37" s="76">
        <f>M37+31</f>
        <v>44600</v>
      </c>
      <c r="O37" s="76">
        <f t="shared" ref="O37:BD37" si="5">N37+31</f>
        <v>44631</v>
      </c>
      <c r="P37" s="76">
        <f t="shared" si="5"/>
        <v>44662</v>
      </c>
      <c r="Q37" s="76">
        <f t="shared" si="5"/>
        <v>44693</v>
      </c>
      <c r="R37" s="76">
        <f t="shared" si="5"/>
        <v>44724</v>
      </c>
      <c r="S37" s="76">
        <f t="shared" si="5"/>
        <v>44755</v>
      </c>
      <c r="T37" s="76">
        <f t="shared" si="5"/>
        <v>44786</v>
      </c>
      <c r="U37" s="76">
        <f t="shared" si="5"/>
        <v>44817</v>
      </c>
      <c r="V37" s="76">
        <f t="shared" si="5"/>
        <v>44848</v>
      </c>
      <c r="W37" s="76">
        <f t="shared" si="5"/>
        <v>44879</v>
      </c>
      <c r="X37" s="76">
        <f t="shared" si="5"/>
        <v>44910</v>
      </c>
      <c r="Y37" s="76">
        <f t="shared" si="5"/>
        <v>44941</v>
      </c>
      <c r="Z37" s="76">
        <f t="shared" si="5"/>
        <v>44972</v>
      </c>
      <c r="AA37" s="76">
        <f t="shared" si="5"/>
        <v>45003</v>
      </c>
      <c r="AB37" s="76">
        <f t="shared" si="5"/>
        <v>45034</v>
      </c>
      <c r="AC37" s="76">
        <f t="shared" si="5"/>
        <v>45065</v>
      </c>
      <c r="AD37" s="76">
        <f t="shared" si="5"/>
        <v>45096</v>
      </c>
      <c r="AE37" s="76">
        <f t="shared" si="5"/>
        <v>45127</v>
      </c>
      <c r="AF37" s="76">
        <f t="shared" si="5"/>
        <v>45158</v>
      </c>
      <c r="AG37" s="76">
        <f t="shared" si="5"/>
        <v>45189</v>
      </c>
      <c r="AH37" s="76">
        <f t="shared" si="5"/>
        <v>45220</v>
      </c>
      <c r="AI37" s="76">
        <f t="shared" si="5"/>
        <v>45251</v>
      </c>
      <c r="AJ37" s="76">
        <f t="shared" si="5"/>
        <v>45282</v>
      </c>
      <c r="AK37" s="76">
        <f t="shared" si="5"/>
        <v>45313</v>
      </c>
      <c r="AL37" s="76">
        <f t="shared" si="5"/>
        <v>45344</v>
      </c>
      <c r="AM37" s="76">
        <f t="shared" si="5"/>
        <v>45375</v>
      </c>
      <c r="AN37" s="76">
        <f t="shared" si="5"/>
        <v>45406</v>
      </c>
      <c r="AO37" s="76">
        <f t="shared" si="5"/>
        <v>45437</v>
      </c>
      <c r="AP37" s="76">
        <f t="shared" si="5"/>
        <v>45468</v>
      </c>
      <c r="AQ37" s="76">
        <f t="shared" si="5"/>
        <v>45499</v>
      </c>
      <c r="AR37" s="76">
        <f t="shared" si="5"/>
        <v>45530</v>
      </c>
      <c r="AS37" s="76">
        <f t="shared" si="5"/>
        <v>45561</v>
      </c>
      <c r="AT37" s="76">
        <f t="shared" si="5"/>
        <v>45592</v>
      </c>
      <c r="AU37" s="76">
        <f t="shared" si="5"/>
        <v>45623</v>
      </c>
      <c r="AV37" s="76">
        <f t="shared" si="5"/>
        <v>45654</v>
      </c>
      <c r="AW37" s="76">
        <f t="shared" si="5"/>
        <v>45685</v>
      </c>
      <c r="AX37" s="76">
        <f t="shared" si="5"/>
        <v>45716</v>
      </c>
      <c r="AY37" s="76">
        <f t="shared" si="5"/>
        <v>45747</v>
      </c>
      <c r="AZ37" s="76">
        <f t="shared" si="5"/>
        <v>45778</v>
      </c>
      <c r="BA37" s="76">
        <f t="shared" si="5"/>
        <v>45809</v>
      </c>
      <c r="BB37" s="76">
        <f t="shared" si="5"/>
        <v>45840</v>
      </c>
      <c r="BC37" s="76">
        <f t="shared" si="5"/>
        <v>45871</v>
      </c>
      <c r="BD37" s="76">
        <f t="shared" si="5"/>
        <v>45902</v>
      </c>
    </row>
    <row r="38" spans="1:56" s="159" customFormat="1" ht="17" x14ac:dyDescent="0.25">
      <c r="A38" s="160" t="s">
        <v>417</v>
      </c>
      <c r="B38" s="236" t="str">
        <f>IFERROR(IF(SUM(B56:B57)&gt;0,"",HLOOKUP(B37,'WEBSITES AUDIENCE'!$B$91:$BI$92,2)),"0")</f>
        <v/>
      </c>
      <c r="C38" s="236" t="str">
        <f>IF(SUM(C56:C57)&gt;0,"",HLOOKUP(C37,'WEBSITES AUDIENCE'!$B$91:$BI$92,2))</f>
        <v/>
      </c>
      <c r="D38" s="236" t="str">
        <f>IF(SUM(D56:D57)&gt;0,"",HLOOKUP(D37,'WEBSITES AUDIENCE'!$B$91:$BI$92,2))</f>
        <v/>
      </c>
      <c r="E38" s="236" t="str">
        <f>IF(SUM(E56:E57)&gt;0,"",HLOOKUP(E37,'WEBSITES AUDIENCE'!$B$91:$BI$92,2))</f>
        <v/>
      </c>
      <c r="F38" s="236" t="str">
        <f>IF(SUM(F56:F57)&gt;0,"",HLOOKUP(F37,'WEBSITES AUDIENCE'!$B$91:$BI$92,2))</f>
        <v/>
      </c>
      <c r="G38" s="236" t="str">
        <f>IF(SUM(G56:G57)&gt;0,"",HLOOKUP(G37,'WEBSITES AUDIENCE'!$B$91:$BI$92,2))</f>
        <v/>
      </c>
      <c r="H38" s="236" t="str">
        <f>IF(SUM(H56:H57)&gt;0,"",HLOOKUP(H37,'WEBSITES AUDIENCE'!$B$91:$BI$92,2))</f>
        <v/>
      </c>
      <c r="I38" s="236" t="str">
        <f>IF(SUM(I56:I57)&gt;0,"",HLOOKUP(I37,'WEBSITES AUDIENCE'!$B$91:$BI$92,2))</f>
        <v/>
      </c>
      <c r="J38" s="236">
        <f>IF(SUM(J56:J57)&gt;0,"",HLOOKUP(J37,'WEBSITES AUDIENCE'!$B$91:$BI$92,2))</f>
        <v>13558.604789123925</v>
      </c>
      <c r="K38" s="236">
        <f>IF(SUM(K56:K57)&gt;0,"",HLOOKUP(K37,'WEBSITES AUDIENCE'!$B$91:$BI$92,2))</f>
        <v>14877.311729708752</v>
      </c>
      <c r="L38" s="236">
        <f>IF(SUM(L56:L57)&gt;0,"",HLOOKUP(L37,'WEBSITES AUDIENCE'!$B$91:$BI$92,2))</f>
        <v>16204.878425531648</v>
      </c>
      <c r="M38" s="236">
        <f>IF(SUM(M56:M57)&gt;0,"",HLOOKUP(M37,'WEBSITES AUDIENCE'!$B$91:$BI$92,2))</f>
        <v>18777.067120453557</v>
      </c>
      <c r="N38" s="236">
        <f>IF(SUM(N56:N57)&gt;0,"",HLOOKUP(N37,'WEBSITES AUDIENCE'!$B$91:$BI$92,2))</f>
        <v>21365.136787645406</v>
      </c>
      <c r="O38" s="236">
        <f>IF(SUM(O56:O57)&gt;0,"",HLOOKUP(O37,'WEBSITES AUDIENCE'!$B$91:$BI$92,2))</f>
        <v>23969.625759235085</v>
      </c>
      <c r="P38" s="236">
        <f>IF(SUM(P56:P57)&gt;0,"",HLOOKUP(P37,'WEBSITES AUDIENCE'!$B$91:$BI$92,2))</f>
        <v>26591.153117169699</v>
      </c>
      <c r="Q38" s="236">
        <f>IF(SUM(Q56:Q57)&gt;0,"",HLOOKUP(Q37,'WEBSITES AUDIENCE'!$B$91:$BI$92,2))</f>
        <v>29230.430805688389</v>
      </c>
      <c r="R38" s="236">
        <f>IF(SUM(R56:R57)&gt;0,"",HLOOKUP(R37,'WEBSITES AUDIENCE'!$B$91:$BI$92,2))</f>
        <v>31888.277560666193</v>
      </c>
      <c r="S38" s="236">
        <f>IF(SUM(S56:S57)&gt;0,"",HLOOKUP(S37,'WEBSITES AUDIENCE'!$B$91:$BI$92,2))</f>
        <v>34565.634928359395</v>
      </c>
      <c r="T38" s="236">
        <f>IF(SUM(T56:T57)&gt;0,"",HLOOKUP(T37,'WEBSITES AUDIENCE'!$B$91:$BI$92,2))</f>
        <v>37263.58568696271</v>
      </c>
      <c r="U38" s="236">
        <f>IF(SUM(U56:U57)&gt;0,"",HLOOKUP(U37,'WEBSITES AUDIENCE'!$B$91:$BI$92,2))</f>
        <v>39983.375031400072</v>
      </c>
      <c r="V38" s="236">
        <f>IF(SUM(V56:V57)&gt;0,"",HLOOKUP(V37,'WEBSITES AUDIENCE'!$B$91:$BI$92,2))</f>
        <v>42726.434935834004</v>
      </c>
      <c r="W38" s="236">
        <f>IF(SUM(W56:W57)&gt;0,"",HLOOKUP(W37,'WEBSITES AUDIENCE'!$B$91:$BI$92,2))</f>
        <v>45494.412170551419</v>
      </c>
      <c r="X38" s="236">
        <f>IF(SUM(X56:X57)&gt;0,"",HLOOKUP(X37,'WEBSITES AUDIENCE'!$B$91:$BI$92,2))</f>
        <v>48289.200521382256</v>
      </c>
      <c r="Y38" s="236">
        <f>IF(SUM(Y56:Y57)&gt;0,"",HLOOKUP(Y37,'WEBSITES AUDIENCE'!$B$91:$BI$92,2))</f>
        <v>52348.333029462468</v>
      </c>
      <c r="Z38" s="236">
        <f>IF(SUM(Z56:Z57)&gt;0,"",HLOOKUP(Z37,'WEBSITES AUDIENCE'!$B$91:$BI$92,2))</f>
        <v>56445.105084829214</v>
      </c>
      <c r="AA38" s="236">
        <f>IF(SUM(AA56:AA57)&gt;0,"",HLOOKUP(AA37,'WEBSITES AUDIENCE'!$B$91:$BI$92,2))</f>
        <v>60582.396899006628</v>
      </c>
      <c r="AB38" s="236">
        <f>IF(SUM(AB56:AB57)&gt;0,"",HLOOKUP(AB37,'WEBSITES AUDIENCE'!$B$91:$BI$92,2))</f>
        <v>64763.520715247418</v>
      </c>
      <c r="AC38" s="236">
        <f>IF(SUM(AC56:AC57)&gt;0,"",HLOOKUP(AC37,'WEBSITES AUDIENCE'!$B$91:$BI$92,2))</f>
        <v>68992.285613292217</v>
      </c>
      <c r="AD38" s="236">
        <f>IF(SUM(AD56:AD57)&gt;0,"",HLOOKUP(AD37,'WEBSITES AUDIENCE'!$B$91:$BI$92,2))</f>
        <v>73273.072034842698</v>
      </c>
      <c r="AE38" s="236">
        <f>IF(SUM(AE56:AE57)&gt;0,"",HLOOKUP(AE37,'WEBSITES AUDIENCE'!$B$91:$BI$92,2))</f>
        <v>77610.917487855957</v>
      </c>
      <c r="AF38" s="236">
        <f>IF(SUM(AF56:AF57)&gt;0,"",HLOOKUP(AF37,'WEBSITES AUDIENCE'!$B$91:$BI$92,2))</f>
        <v>82011.615106482437</v>
      </c>
      <c r="AG38" s="236">
        <f>IF(SUM(AG56:AG57)&gt;0,"",HLOOKUP(AG37,'WEBSITES AUDIENCE'!$B$91:$BI$92,2))</f>
        <v>86481.826994995252</v>
      </c>
      <c r="AH38" s="236">
        <f>IF(SUM(AH56:AH57)&gt;0,"",HLOOKUP(AH37,'WEBSITES AUDIENCE'!$B$91:$BI$92,2))</f>
        <v>91029.214573308505</v>
      </c>
      <c r="AI38" s="236">
        <f>IF(SUM(AI56:AI57)&gt;0,"",HLOOKUP(AI37,'WEBSITES AUDIENCE'!$B$91:$BI$92,2))</f>
        <v>95662.588474323376</v>
      </c>
      <c r="AJ38" s="236">
        <f>IF(SUM(AJ56:AJ57)&gt;0,"",HLOOKUP(AJ37,'WEBSITES AUDIENCE'!$B$91:$BI$92,2))</f>
        <v>100392.08092587622</v>
      </c>
      <c r="AK38" s="236">
        <f>IF(SUM(AK56:AK57)&gt;0,"",HLOOKUP(AK37,'WEBSITES AUDIENCE'!$B$91:$BI$92,2))</f>
        <v>105970.5571024378</v>
      </c>
      <c r="AL38" s="236">
        <f>IF(SUM(AL56:AL57)&gt;0,"",HLOOKUP(AL37,'WEBSITES AUDIENCE'!$B$91:$BI$92,2))</f>
        <v>111673.89139028794</v>
      </c>
      <c r="AM38" s="236">
        <f>IF(SUM(AM56:AM57)&gt;0,"",HLOOKUP(AM37,'WEBSITES AUDIENCE'!$B$91:$BI$92,2))</f>
        <v>117517.49364143726</v>
      </c>
      <c r="AN38" s="236">
        <f>IF(SUM(AN56:AN57)&gt;0,"",HLOOKUP(AN37,'WEBSITES AUDIENCE'!$B$91:$BI$92,2))</f>
        <v>123519.30943009179</v>
      </c>
      <c r="AO38" s="236">
        <f>IF(SUM(AO56:AO57)&gt;0,"",HLOOKUP(AO37,'WEBSITES AUDIENCE'!$B$91:$BI$92,2))</f>
        <v>129699.52879344461</v>
      </c>
      <c r="AP38" s="236">
        <f>IF(SUM(AP56:AP57)&gt;0,"",HLOOKUP(AP37,'WEBSITES AUDIENCE'!$B$91:$BI$92,2))</f>
        <v>136081.59340301779</v>
      </c>
      <c r="AQ38" s="236">
        <f>IF(SUM(AQ56:AQ57)&gt;0,"",HLOOKUP(AQ37,'WEBSITES AUDIENCE'!$B$91:$BI$92,2))</f>
        <v>142692.46118106181</v>
      </c>
      <c r="AR38" s="236">
        <f>IF(SUM(AR56:AR57)&gt;0,"",HLOOKUP(AR37,'WEBSITES AUDIENCE'!$B$91:$BI$92,2))</f>
        <v>149563.13373816459</v>
      </c>
      <c r="AS38" s="236">
        <f>IF(SUM(AS56:AS57)&gt;0,"",HLOOKUP(AS37,'WEBSITES AUDIENCE'!$B$91:$BI$92,2))</f>
        <v>156729.2629265023</v>
      </c>
      <c r="AT38" s="236">
        <f>IF(SUM(AT56:AT57)&gt;0,"",HLOOKUP(AT37,'WEBSITES AUDIENCE'!$B$91:$BI$92,2))</f>
        <v>164231.84837607751</v>
      </c>
      <c r="AU38" s="236">
        <f>IF(SUM(AU56:AU57)&gt;0,"",HLOOKUP(AU37,'WEBSITES AUDIENCE'!$B$91:$BI$92,2))</f>
        <v>172118.03966139324</v>
      </c>
      <c r="AV38" s="236">
        <f>IF(SUM(AV56:AV57)&gt;0,"",HLOOKUP(AV37,'WEBSITES AUDIENCE'!$B$91:$BI$92,2))</f>
        <v>180442.05879312783</v>
      </c>
      <c r="AW38" s="236">
        <f>IF(SUM(AW56:AW57)&gt;0,"",HLOOKUP(AW37,'WEBSITES AUDIENCE'!$B$91:$BI$92,2))</f>
        <v>180442.05879312783</v>
      </c>
      <c r="AX38" s="236">
        <f>IF(SUM(AX56:AX57)&gt;0,"",HLOOKUP(AX37,'WEBSITES AUDIENCE'!$B$91:$BI$92,2))</f>
        <v>180442.05879312783</v>
      </c>
      <c r="AY38" s="236">
        <f>IF(SUM(AY56:AY57)&gt;0,"",HLOOKUP(AY37,'WEBSITES AUDIENCE'!$B$91:$BI$92,2))</f>
        <v>180442.05879312783</v>
      </c>
      <c r="AZ38" s="236">
        <f>IF(SUM(AZ56:AZ57)&gt;0,"",HLOOKUP(AZ37,'WEBSITES AUDIENCE'!$B$91:$BI$92,2))</f>
        <v>180442.05879312783</v>
      </c>
      <c r="BA38" s="236">
        <f>IF(SUM(BA56:BA57)&gt;0,"",HLOOKUP(BA37,'WEBSITES AUDIENCE'!$B$91:$BI$92,2))</f>
        <v>180442.05879312783</v>
      </c>
      <c r="BB38" s="236">
        <f>IF(SUM(BB56:BB57)&gt;0,"",HLOOKUP(BB37,'WEBSITES AUDIENCE'!$B$91:$BI$92,2))</f>
        <v>180442.05879312783</v>
      </c>
      <c r="BC38" s="236">
        <f>IF(SUM(BC56:BC57)&gt;0,"",HLOOKUP(BC37,'WEBSITES AUDIENCE'!$B$91:$BI$92,2))</f>
        <v>180442.05879312783</v>
      </c>
      <c r="BD38" s="236">
        <f>IF(SUM(BD56:BD57)&gt;0,"",HLOOKUP(BD37,'WEBSITES AUDIENCE'!$B$91:$BI$92,2))</f>
        <v>180442.05879312783</v>
      </c>
    </row>
    <row r="39" spans="1:56" s="151" customFormat="1" outlineLevel="1" x14ac:dyDescent="0.25">
      <c r="A39" s="151" t="s">
        <v>382</v>
      </c>
      <c r="B39" s="237" t="str">
        <f>IFERROR(B38*B35*$I$29,"0")</f>
        <v>0</v>
      </c>
      <c r="C39" s="237" t="str">
        <f t="shared" ref="C39:BD39" si="6">IFERROR(C38*C35*$I$29,"0")</f>
        <v>0</v>
      </c>
      <c r="D39" s="237" t="str">
        <f t="shared" si="6"/>
        <v>0</v>
      </c>
      <c r="E39" s="237" t="str">
        <f t="shared" si="6"/>
        <v>0</v>
      </c>
      <c r="F39" s="237" t="str">
        <f t="shared" si="6"/>
        <v>0</v>
      </c>
      <c r="G39" s="237" t="str">
        <f t="shared" si="6"/>
        <v>0</v>
      </c>
      <c r="H39" s="237" t="str">
        <f t="shared" si="6"/>
        <v>0</v>
      </c>
      <c r="I39" s="237" t="str">
        <f t="shared" si="6"/>
        <v>0</v>
      </c>
      <c r="J39" s="237">
        <f t="shared" si="6"/>
        <v>56.946140114320485</v>
      </c>
      <c r="K39" s="237">
        <f t="shared" si="6"/>
        <v>65.608944728015601</v>
      </c>
      <c r="L39" s="237">
        <f t="shared" si="6"/>
        <v>77.18059496512214</v>
      </c>
      <c r="M39" s="237">
        <f t="shared" si="6"/>
        <v>96.585928503799892</v>
      </c>
      <c r="N39" s="237">
        <f t="shared" si="6"/>
        <v>118.69038364129922</v>
      </c>
      <c r="O39" s="237">
        <f t="shared" si="6"/>
        <v>143.81191348359994</v>
      </c>
      <c r="P39" s="237">
        <f t="shared" si="6"/>
        <v>172.30367390469473</v>
      </c>
      <c r="Q39" s="237">
        <f t="shared" si="6"/>
        <v>204.5579386151496</v>
      </c>
      <c r="R39" s="237">
        <f t="shared" si="6"/>
        <v>241.01048652113789</v>
      </c>
      <c r="S39" s="237">
        <f t="shared" si="6"/>
        <v>282.14552865575496</v>
      </c>
      <c r="T39" s="237">
        <f t="shared" si="6"/>
        <v>328.50125372936782</v>
      </c>
      <c r="U39" s="237">
        <f t="shared" si="6"/>
        <v>380.67608553304427</v>
      </c>
      <c r="V39" s="237">
        <f t="shared" si="6"/>
        <v>439.33576258564648</v>
      </c>
      <c r="W39" s="237">
        <f t="shared" si="6"/>
        <v>505.22137121666594</v>
      </c>
      <c r="X39" s="237">
        <f t="shared" si="6"/>
        <v>579.15848855860645</v>
      </c>
      <c r="Y39" s="237">
        <f t="shared" si="6"/>
        <v>678.06920796462327</v>
      </c>
      <c r="Z39" s="237">
        <f t="shared" si="6"/>
        <v>789.62557778017049</v>
      </c>
      <c r="AA39" s="237">
        <f t="shared" si="6"/>
        <v>915.30351284519895</v>
      </c>
      <c r="AB39" s="237">
        <f t="shared" si="6"/>
        <v>1056.7515240904841</v>
      </c>
      <c r="AC39" s="237">
        <f t="shared" si="6"/>
        <v>1215.812827043869</v>
      </c>
      <c r="AD39" s="237">
        <f t="shared" si="6"/>
        <v>1394.5508149230554</v>
      </c>
      <c r="AE39" s="237">
        <f t="shared" si="6"/>
        <v>1595.2785169482315</v>
      </c>
      <c r="AF39" s="237">
        <f t="shared" si="6"/>
        <v>1820.5927942969586</v>
      </c>
      <c r="AG39" s="237">
        <f t="shared" si="6"/>
        <v>2073.4141880893376</v>
      </c>
      <c r="AH39" s="237">
        <f t="shared" si="6"/>
        <v>2357.0335330783082</v>
      </c>
      <c r="AI39" s="237">
        <f t="shared" si="6"/>
        <v>2675.1666961878736</v>
      </c>
      <c r="AJ39" s="237">
        <f t="shared" si="6"/>
        <v>3032.0191016790864</v>
      </c>
      <c r="AK39" s="237">
        <f t="shared" si="6"/>
        <v>3456.5389064341721</v>
      </c>
      <c r="AL39" s="237">
        <f t="shared" si="6"/>
        <v>3933.975378220588</v>
      </c>
      <c r="AM39" s="237">
        <f t="shared" si="6"/>
        <v>4471.0164067827964</v>
      </c>
      <c r="AN39" s="237">
        <f t="shared" si="6"/>
        <v>5075.3074223787589</v>
      </c>
      <c r="AO39" s="237">
        <f t="shared" si="6"/>
        <v>5755.5873890301464</v>
      </c>
      <c r="AP39" s="237">
        <f t="shared" si="6"/>
        <v>6521.9039033382651</v>
      </c>
      <c r="AQ39" s="237">
        <f t="shared" si="6"/>
        <v>7385.8382752866773</v>
      </c>
      <c r="AR39" s="237">
        <f t="shared" si="6"/>
        <v>8360.7854071572146</v>
      </c>
      <c r="AS39" s="237">
        <f t="shared" si="6"/>
        <v>9462.2924629006684</v>
      </c>
      <c r="AT39" s="237">
        <f t="shared" si="6"/>
        <v>10708.469702488348</v>
      </c>
      <c r="AU39" s="237">
        <f t="shared" si="6"/>
        <v>12120.490012660217</v>
      </c>
      <c r="AV39" s="237">
        <f t="shared" si="6"/>
        <v>13723.197578998677</v>
      </c>
      <c r="AW39" s="237">
        <f t="shared" si="6"/>
        <v>14821.053385318573</v>
      </c>
      <c r="AX39" s="237">
        <f t="shared" si="6"/>
        <v>16006.737656144061</v>
      </c>
      <c r="AY39" s="237">
        <f t="shared" si="6"/>
        <v>17287.276668635586</v>
      </c>
      <c r="AZ39" s="237">
        <f t="shared" si="6"/>
        <v>18670.258802126431</v>
      </c>
      <c r="BA39" s="237">
        <f t="shared" si="6"/>
        <v>20163.879506296547</v>
      </c>
      <c r="BB39" s="237">
        <f t="shared" si="6"/>
        <v>21776.989866800272</v>
      </c>
      <c r="BC39" s="237">
        <f t="shared" si="6"/>
        <v>23519.149056144295</v>
      </c>
      <c r="BD39" s="237">
        <f t="shared" si="6"/>
        <v>25400.68098063584</v>
      </c>
    </row>
    <row r="40" spans="1:56" s="151" customFormat="1" outlineLevel="1" x14ac:dyDescent="0.25">
      <c r="A40" s="151" t="s">
        <v>383</v>
      </c>
      <c r="B40" s="237" t="str">
        <f>IFERROR(B38*B35*$I$30,"0")</f>
        <v>0</v>
      </c>
      <c r="C40" s="237" t="str">
        <f t="shared" ref="C40:BD40" si="7">IFERROR(C38*C35*$I$30,"0")</f>
        <v>0</v>
      </c>
      <c r="D40" s="237" t="str">
        <f t="shared" si="7"/>
        <v>0</v>
      </c>
      <c r="E40" s="237" t="str">
        <f t="shared" si="7"/>
        <v>0</v>
      </c>
      <c r="F40" s="237" t="str">
        <f t="shared" si="7"/>
        <v>0</v>
      </c>
      <c r="G40" s="237" t="str">
        <f t="shared" si="7"/>
        <v>0</v>
      </c>
      <c r="H40" s="237" t="str">
        <f t="shared" si="7"/>
        <v>0</v>
      </c>
      <c r="I40" s="237" t="str">
        <f t="shared" si="7"/>
        <v>0</v>
      </c>
      <c r="J40" s="237">
        <f t="shared" si="7"/>
        <v>35.116786403830965</v>
      </c>
      <c r="K40" s="237">
        <f t="shared" si="7"/>
        <v>40.458849248942954</v>
      </c>
      <c r="L40" s="237">
        <f t="shared" si="7"/>
        <v>47.594700228491988</v>
      </c>
      <c r="M40" s="237">
        <f t="shared" si="7"/>
        <v>59.561322577343269</v>
      </c>
      <c r="N40" s="237">
        <f t="shared" si="7"/>
        <v>73.192403245467858</v>
      </c>
      <c r="O40" s="237">
        <f t="shared" si="7"/>
        <v>88.684013314886627</v>
      </c>
      <c r="P40" s="237">
        <f t="shared" si="7"/>
        <v>106.25393224122843</v>
      </c>
      <c r="Q40" s="237">
        <f t="shared" si="7"/>
        <v>126.14406214600891</v>
      </c>
      <c r="R40" s="237">
        <f t="shared" si="7"/>
        <v>148.62313335470171</v>
      </c>
      <c r="S40" s="237">
        <f t="shared" si="7"/>
        <v>173.9897426710489</v>
      </c>
      <c r="T40" s="237">
        <f t="shared" si="7"/>
        <v>202.57577313311018</v>
      </c>
      <c r="U40" s="237">
        <f t="shared" si="7"/>
        <v>234.75025274537731</v>
      </c>
      <c r="V40" s="237">
        <f t="shared" si="7"/>
        <v>270.92372026114867</v>
      </c>
      <c r="W40" s="237">
        <f t="shared" si="7"/>
        <v>311.55317891694403</v>
      </c>
      <c r="X40" s="237">
        <f t="shared" si="7"/>
        <v>357.14773461114061</v>
      </c>
      <c r="Y40" s="237">
        <f t="shared" si="7"/>
        <v>418.14267824485103</v>
      </c>
      <c r="Z40" s="237">
        <f t="shared" si="7"/>
        <v>486.93577296443846</v>
      </c>
      <c r="AA40" s="237">
        <f t="shared" si="7"/>
        <v>564.43716625453931</v>
      </c>
      <c r="AB40" s="237">
        <f t="shared" si="7"/>
        <v>651.66343985579852</v>
      </c>
      <c r="AC40" s="237">
        <f t="shared" si="7"/>
        <v>749.75124334371924</v>
      </c>
      <c r="AD40" s="237">
        <f t="shared" si="7"/>
        <v>859.97300253588423</v>
      </c>
      <c r="AE40" s="237">
        <f t="shared" si="7"/>
        <v>983.7550854514094</v>
      </c>
      <c r="AF40" s="237">
        <f t="shared" si="7"/>
        <v>1122.6988898164577</v>
      </c>
      <c r="AG40" s="237">
        <f t="shared" si="7"/>
        <v>1278.6054159884247</v>
      </c>
      <c r="AH40" s="237">
        <f t="shared" si="7"/>
        <v>1453.5040120649569</v>
      </c>
      <c r="AI40" s="237">
        <f t="shared" si="7"/>
        <v>1649.6861293158554</v>
      </c>
      <c r="AJ40" s="237">
        <f t="shared" si="7"/>
        <v>1869.7451127021034</v>
      </c>
      <c r="AK40" s="237">
        <f t="shared" si="7"/>
        <v>2131.5323256344063</v>
      </c>
      <c r="AL40" s="237">
        <f t="shared" si="7"/>
        <v>2425.9514832360296</v>
      </c>
      <c r="AM40" s="237">
        <f t="shared" si="7"/>
        <v>2757.1267841827244</v>
      </c>
      <c r="AN40" s="237">
        <f t="shared" si="7"/>
        <v>3129.7729104669015</v>
      </c>
      <c r="AO40" s="237">
        <f t="shared" si="7"/>
        <v>3549.2788899019238</v>
      </c>
      <c r="AP40" s="237">
        <f t="shared" si="7"/>
        <v>4021.8407403919305</v>
      </c>
      <c r="AQ40" s="237">
        <f t="shared" si="7"/>
        <v>4554.600269760118</v>
      </c>
      <c r="AR40" s="237">
        <f t="shared" si="7"/>
        <v>5155.8176677469492</v>
      </c>
      <c r="AS40" s="237">
        <f t="shared" si="7"/>
        <v>5835.0803521220787</v>
      </c>
      <c r="AT40" s="237">
        <f t="shared" si="7"/>
        <v>6603.5563165344811</v>
      </c>
      <c r="AU40" s="237">
        <f t="shared" si="7"/>
        <v>7474.3021744738007</v>
      </c>
      <c r="AV40" s="237">
        <f t="shared" si="7"/>
        <v>8462.6385070491851</v>
      </c>
      <c r="AW40" s="237">
        <f t="shared" si="7"/>
        <v>9139.6495876131194</v>
      </c>
      <c r="AX40" s="237">
        <f t="shared" si="7"/>
        <v>9870.8215546221709</v>
      </c>
      <c r="AY40" s="237">
        <f t="shared" si="7"/>
        <v>10660.487278991945</v>
      </c>
      <c r="AZ40" s="237">
        <f t="shared" si="7"/>
        <v>11513.3262613113</v>
      </c>
      <c r="BA40" s="237">
        <f t="shared" si="7"/>
        <v>12434.392362216204</v>
      </c>
      <c r="BB40" s="237">
        <f t="shared" si="7"/>
        <v>13429.1437511935</v>
      </c>
      <c r="BC40" s="237">
        <f t="shared" si="7"/>
        <v>14503.475251288983</v>
      </c>
      <c r="BD40" s="237">
        <f t="shared" si="7"/>
        <v>15663.753271392103</v>
      </c>
    </row>
    <row r="41" spans="1:56" s="151" customFormat="1" outlineLevel="1" x14ac:dyDescent="0.25">
      <c r="A41" s="151" t="s">
        <v>384</v>
      </c>
      <c r="B41" s="237" t="str">
        <f>IFERROR(B38*B35*$I$31,"0")</f>
        <v>0</v>
      </c>
      <c r="C41" s="237" t="str">
        <f t="shared" ref="C41:BD41" si="8">IFERROR(C38*C35*$I$31,"0")</f>
        <v>0</v>
      </c>
      <c r="D41" s="237" t="str">
        <f t="shared" si="8"/>
        <v>0</v>
      </c>
      <c r="E41" s="237" t="str">
        <f t="shared" si="8"/>
        <v>0</v>
      </c>
      <c r="F41" s="237" t="str">
        <f t="shared" si="8"/>
        <v>0</v>
      </c>
      <c r="G41" s="237" t="str">
        <f t="shared" si="8"/>
        <v>0</v>
      </c>
      <c r="H41" s="237" t="str">
        <f t="shared" si="8"/>
        <v>0</v>
      </c>
      <c r="I41" s="237" t="str">
        <f t="shared" si="8"/>
        <v>0</v>
      </c>
      <c r="J41" s="237">
        <f>IFERROR(J38*J35*$I$31,"0")</f>
        <v>2.8473070057160244</v>
      </c>
      <c r="K41" s="237">
        <f t="shared" si="8"/>
        <v>3.28044723640078</v>
      </c>
      <c r="L41" s="237">
        <f t="shared" si="8"/>
        <v>3.8590297482561069</v>
      </c>
      <c r="M41" s="237">
        <f t="shared" si="8"/>
        <v>4.8292964251899946</v>
      </c>
      <c r="N41" s="237">
        <f t="shared" si="8"/>
        <v>5.9345191820649612</v>
      </c>
      <c r="O41" s="237">
        <f t="shared" si="8"/>
        <v>7.1905956741799963</v>
      </c>
      <c r="P41" s="237">
        <f t="shared" si="8"/>
        <v>8.6151836952347374</v>
      </c>
      <c r="Q41" s="237">
        <f t="shared" si="8"/>
        <v>10.227896930757479</v>
      </c>
      <c r="R41" s="237">
        <f t="shared" si="8"/>
        <v>12.050524326056895</v>
      </c>
      <c r="S41" s="237">
        <f t="shared" si="8"/>
        <v>14.107276432787748</v>
      </c>
      <c r="T41" s="237">
        <f t="shared" si="8"/>
        <v>16.42506268646839</v>
      </c>
      <c r="U41" s="237">
        <f t="shared" si="8"/>
        <v>19.033804276652216</v>
      </c>
      <c r="V41" s="237">
        <f t="shared" si="8"/>
        <v>21.966788129282321</v>
      </c>
      <c r="W41" s="237">
        <f t="shared" si="8"/>
        <v>25.261068560833298</v>
      </c>
      <c r="X41" s="237">
        <f t="shared" si="8"/>
        <v>28.957924427930319</v>
      </c>
      <c r="Y41" s="237">
        <f t="shared" si="8"/>
        <v>33.903460398231168</v>
      </c>
      <c r="Z41" s="237">
        <f t="shared" si="8"/>
        <v>39.481278889008522</v>
      </c>
      <c r="AA41" s="237">
        <f t="shared" si="8"/>
        <v>45.765175642259948</v>
      </c>
      <c r="AB41" s="237">
        <f t="shared" si="8"/>
        <v>52.837576204524204</v>
      </c>
      <c r="AC41" s="237">
        <f t="shared" si="8"/>
        <v>60.790641352193454</v>
      </c>
      <c r="AD41" s="237">
        <f t="shared" si="8"/>
        <v>69.727540746152769</v>
      </c>
      <c r="AE41" s="237">
        <f t="shared" si="8"/>
        <v>79.763925847411571</v>
      </c>
      <c r="AF41" s="237">
        <f t="shared" si="8"/>
        <v>91.029639714847917</v>
      </c>
      <c r="AG41" s="237">
        <f t="shared" si="8"/>
        <v>103.67070940446688</v>
      </c>
      <c r="AH41" s="237">
        <f t="shared" si="8"/>
        <v>117.85167665391542</v>
      </c>
      <c r="AI41" s="237">
        <f t="shared" si="8"/>
        <v>133.75833480939369</v>
      </c>
      <c r="AJ41" s="237">
        <f t="shared" si="8"/>
        <v>151.60095508395432</v>
      </c>
      <c r="AK41" s="237">
        <f t="shared" si="8"/>
        <v>172.82694532170859</v>
      </c>
      <c r="AL41" s="237">
        <f t="shared" si="8"/>
        <v>196.69876891102942</v>
      </c>
      <c r="AM41" s="237">
        <f t="shared" si="8"/>
        <v>223.55082033913979</v>
      </c>
      <c r="AN41" s="237">
        <f t="shared" si="8"/>
        <v>253.76537111893794</v>
      </c>
      <c r="AO41" s="237">
        <f t="shared" si="8"/>
        <v>287.77936945150731</v>
      </c>
      <c r="AP41" s="237">
        <f t="shared" si="8"/>
        <v>326.09519516691324</v>
      </c>
      <c r="AQ41" s="237">
        <f t="shared" si="8"/>
        <v>369.29191376433386</v>
      </c>
      <c r="AR41" s="237">
        <f t="shared" si="8"/>
        <v>418.03927035786069</v>
      </c>
      <c r="AS41" s="237">
        <f t="shared" si="8"/>
        <v>473.11462314503336</v>
      </c>
      <c r="AT41" s="237">
        <f t="shared" si="8"/>
        <v>535.42348512441743</v>
      </c>
      <c r="AU41" s="237">
        <f t="shared" si="8"/>
        <v>606.02450063301092</v>
      </c>
      <c r="AV41" s="237">
        <f t="shared" si="8"/>
        <v>686.15987894993384</v>
      </c>
      <c r="AW41" s="237">
        <f t="shared" si="8"/>
        <v>741.05266926592867</v>
      </c>
      <c r="AX41" s="237">
        <f t="shared" si="8"/>
        <v>800.3368828072031</v>
      </c>
      <c r="AY41" s="237">
        <f t="shared" si="8"/>
        <v>864.3638334317792</v>
      </c>
      <c r="AZ41" s="237">
        <f t="shared" si="8"/>
        <v>933.51294010632159</v>
      </c>
      <c r="BA41" s="237">
        <f t="shared" si="8"/>
        <v>1008.1939753148274</v>
      </c>
      <c r="BB41" s="237">
        <f t="shared" si="8"/>
        <v>1088.8494933400136</v>
      </c>
      <c r="BC41" s="237">
        <f t="shared" si="8"/>
        <v>1175.9574528072148</v>
      </c>
      <c r="BD41" s="237">
        <f t="shared" si="8"/>
        <v>1270.0340490317919</v>
      </c>
    </row>
    <row r="42" spans="1:56" s="151" customFormat="1" x14ac:dyDescent="0.25">
      <c r="A42" s="218" t="s">
        <v>393</v>
      </c>
      <c r="B42" s="219">
        <f>SUM(B39:B41)</f>
        <v>0</v>
      </c>
      <c r="C42" s="219">
        <f t="shared" ref="C42:M42" si="9">SUM(C39:C41)</f>
        <v>0</v>
      </c>
      <c r="D42" s="219">
        <f t="shared" si="9"/>
        <v>0</v>
      </c>
      <c r="E42" s="219">
        <f t="shared" si="9"/>
        <v>0</v>
      </c>
      <c r="F42" s="219">
        <f t="shared" si="9"/>
        <v>0</v>
      </c>
      <c r="G42" s="219">
        <f t="shared" si="9"/>
        <v>0</v>
      </c>
      <c r="H42" s="219">
        <f t="shared" si="9"/>
        <v>0</v>
      </c>
      <c r="I42" s="219">
        <f t="shared" si="9"/>
        <v>0</v>
      </c>
      <c r="J42" s="219">
        <f t="shared" si="9"/>
        <v>94.910233523867461</v>
      </c>
      <c r="K42" s="219">
        <f t="shared" si="9"/>
        <v>109.34824121335933</v>
      </c>
      <c r="L42" s="219">
        <f t="shared" si="9"/>
        <v>128.63432494187023</v>
      </c>
      <c r="M42" s="219">
        <f t="shared" si="9"/>
        <v>160.97654750633316</v>
      </c>
      <c r="N42" s="219">
        <f t="shared" ref="N42" si="10">SUM(N39:N41)</f>
        <v>197.81730606883204</v>
      </c>
      <c r="O42" s="219">
        <f t="shared" ref="O42" si="11">SUM(O39:O41)</f>
        <v>239.68652247266655</v>
      </c>
      <c r="P42" s="219">
        <f t="shared" ref="P42" si="12">SUM(P39:P41)</f>
        <v>287.17278984115791</v>
      </c>
      <c r="Q42" s="219">
        <f t="shared" ref="Q42" si="13">SUM(Q39:Q41)</f>
        <v>340.92989769191598</v>
      </c>
      <c r="R42" s="219">
        <f t="shared" ref="R42" si="14">SUM(R39:R41)</f>
        <v>401.68414420189652</v>
      </c>
      <c r="S42" s="219">
        <f t="shared" ref="S42" si="15">SUM(S39:S41)</f>
        <v>470.24254775959156</v>
      </c>
      <c r="T42" s="219">
        <f t="shared" ref="T42" si="16">SUM(T39:T41)</f>
        <v>547.5020895489464</v>
      </c>
      <c r="U42" s="219">
        <f t="shared" ref="U42" si="17">SUM(U39:U41)</f>
        <v>634.46014255507373</v>
      </c>
      <c r="V42" s="219">
        <f t="shared" ref="V42" si="18">SUM(V39:V41)</f>
        <v>732.22627097607756</v>
      </c>
      <c r="W42" s="219">
        <f t="shared" ref="W42" si="19">SUM(W39:W41)</f>
        <v>842.03561869444331</v>
      </c>
      <c r="X42" s="219">
        <f t="shared" ref="X42" si="20">SUM(X39:X41)</f>
        <v>965.26414759767727</v>
      </c>
      <c r="Y42" s="219">
        <f t="shared" ref="Y42" si="21">SUM(Y39:Y41)</f>
        <v>1130.1153466077055</v>
      </c>
      <c r="Z42" s="219">
        <f t="shared" ref="Z42" si="22">SUM(Z39:Z41)</f>
        <v>1316.0426296336175</v>
      </c>
      <c r="AA42" s="219">
        <f t="shared" ref="AA42" si="23">SUM(AA39:AA41)</f>
        <v>1525.5058547419983</v>
      </c>
      <c r="AB42" s="219">
        <f t="shared" ref="AB42" si="24">SUM(AB39:AB41)</f>
        <v>1761.2525401508067</v>
      </c>
      <c r="AC42" s="219">
        <f t="shared" ref="AC42" si="25">SUM(AC39:AC41)</f>
        <v>2026.3547117397818</v>
      </c>
      <c r="AD42" s="219">
        <f t="shared" ref="AD42" si="26">SUM(AD39:AD41)</f>
        <v>2324.2513582050924</v>
      </c>
      <c r="AE42" s="219">
        <f t="shared" ref="AE42" si="27">SUM(AE39:AE41)</f>
        <v>2658.7975282470525</v>
      </c>
      <c r="AF42" s="219">
        <f t="shared" ref="AF42" si="28">SUM(AF39:AF41)</f>
        <v>3034.3213238282642</v>
      </c>
      <c r="AG42" s="219">
        <f t="shared" ref="AG42" si="29">SUM(AG39:AG41)</f>
        <v>3455.6903134822292</v>
      </c>
      <c r="AH42" s="219">
        <f t="shared" ref="AH42" si="30">SUM(AH39:AH41)</f>
        <v>3928.3892217971807</v>
      </c>
      <c r="AI42" s="219">
        <f t="shared" ref="AI42" si="31">SUM(AI39:AI41)</f>
        <v>4458.611160313123</v>
      </c>
      <c r="AJ42" s="219">
        <f t="shared" ref="AJ42" si="32">SUM(AJ39:AJ41)</f>
        <v>5053.3651694651444</v>
      </c>
      <c r="AK42" s="219">
        <f t="shared" ref="AK42" si="33">SUM(AK39:AK41)</f>
        <v>5760.8981773902869</v>
      </c>
      <c r="AL42" s="219">
        <f t="shared" ref="AL42" si="34">SUM(AL39:AL41)</f>
        <v>6556.6256303676464</v>
      </c>
      <c r="AM42" s="219">
        <f t="shared" ref="AM42" si="35">SUM(AM39:AM41)</f>
        <v>7451.6940113046603</v>
      </c>
      <c r="AN42" s="219">
        <f t="shared" ref="AN42" si="36">SUM(AN39:AN41)</f>
        <v>8458.8457039645982</v>
      </c>
      <c r="AO42" s="219">
        <f t="shared" ref="AO42" si="37">SUM(AO39:AO41)</f>
        <v>9592.6456483835773</v>
      </c>
      <c r="AP42" s="219">
        <f t="shared" ref="AP42" si="38">SUM(AP39:AP41)</f>
        <v>10869.839838897109</v>
      </c>
      <c r="AQ42" s="219">
        <f t="shared" ref="AQ42" si="39">SUM(AQ39:AQ41)</f>
        <v>12309.730458811129</v>
      </c>
      <c r="AR42" s="219">
        <f t="shared" ref="AR42" si="40">SUM(AR39:AR41)</f>
        <v>13934.642345262024</v>
      </c>
      <c r="AS42" s="219">
        <f t="shared" ref="AS42" si="41">SUM(AS39:AS41)</f>
        <v>15770.48743816778</v>
      </c>
      <c r="AT42" s="219">
        <f t="shared" ref="AT42" si="42">SUM(AT39:AT41)</f>
        <v>17847.449504147247</v>
      </c>
      <c r="AU42" s="219">
        <f t="shared" ref="AU42" si="43">SUM(AU39:AU41)</f>
        <v>20200.81668776703</v>
      </c>
      <c r="AV42" s="219">
        <f t="shared" ref="AV42" si="44">SUM(AV39:AV41)</f>
        <v>22871.995964997797</v>
      </c>
      <c r="AW42" s="219">
        <f t="shared" ref="AW42" si="45">SUM(AW39:AW41)</f>
        <v>24701.755642197622</v>
      </c>
      <c r="AX42" s="219">
        <f t="shared" ref="AX42" si="46">SUM(AX39:AX41)</f>
        <v>26677.896093573432</v>
      </c>
      <c r="AY42" s="219">
        <f t="shared" ref="AY42" si="47">SUM(AY39:AY41)</f>
        <v>28812.127781059309</v>
      </c>
      <c r="AZ42" s="219">
        <f t="shared" ref="AZ42" si="48">SUM(AZ39:AZ41)</f>
        <v>31117.098003544052</v>
      </c>
      <c r="BA42" s="219">
        <f t="shared" ref="BA42" si="49">SUM(BA39:BA41)</f>
        <v>33606.46584382758</v>
      </c>
      <c r="BB42" s="219">
        <f t="shared" ref="BB42" si="50">SUM(BB39:BB41)</f>
        <v>36294.983111333786</v>
      </c>
      <c r="BC42" s="219">
        <f t="shared" ref="BC42" si="51">SUM(BC39:BC41)</f>
        <v>39198.581760240486</v>
      </c>
      <c r="BD42" s="219">
        <f t="shared" ref="BD42" si="52">SUM(BD39:BD41)</f>
        <v>42334.468301059736</v>
      </c>
    </row>
    <row r="43" spans="1:56" s="151" customFormat="1" x14ac:dyDescent="0.25">
      <c r="B43" s="176"/>
      <c r="I43" s="153"/>
      <c r="N43" s="221"/>
    </row>
    <row r="44" spans="1:56" s="151" customFormat="1" x14ac:dyDescent="0.25">
      <c r="A44" s="3" t="s">
        <v>395</v>
      </c>
      <c r="B44" s="131">
        <f>B37</f>
        <v>44228</v>
      </c>
      <c r="C44" s="131">
        <f t="shared" ref="C44:M44" si="53">C37</f>
        <v>44259</v>
      </c>
      <c r="D44" s="131">
        <f t="shared" si="53"/>
        <v>44290</v>
      </c>
      <c r="E44" s="131">
        <f t="shared" si="53"/>
        <v>44321</v>
      </c>
      <c r="F44" s="131">
        <f t="shared" si="53"/>
        <v>44352</v>
      </c>
      <c r="G44" s="131">
        <f t="shared" si="53"/>
        <v>44383</v>
      </c>
      <c r="H44" s="131">
        <f t="shared" si="53"/>
        <v>44414</v>
      </c>
      <c r="I44" s="131">
        <f t="shared" si="53"/>
        <v>44445</v>
      </c>
      <c r="J44" s="131">
        <f t="shared" si="53"/>
        <v>44476</v>
      </c>
      <c r="K44" s="131">
        <f t="shared" si="53"/>
        <v>44507</v>
      </c>
      <c r="L44" s="131">
        <f t="shared" si="53"/>
        <v>44538</v>
      </c>
      <c r="M44" s="131">
        <f t="shared" si="53"/>
        <v>44569</v>
      </c>
      <c r="N44" s="131">
        <f t="shared" ref="N44:BD44" si="54">N37</f>
        <v>44600</v>
      </c>
      <c r="O44" s="131">
        <f t="shared" si="54"/>
        <v>44631</v>
      </c>
      <c r="P44" s="131">
        <f t="shared" si="54"/>
        <v>44662</v>
      </c>
      <c r="Q44" s="131">
        <f t="shared" si="54"/>
        <v>44693</v>
      </c>
      <c r="R44" s="131">
        <f t="shared" si="54"/>
        <v>44724</v>
      </c>
      <c r="S44" s="131">
        <f t="shared" si="54"/>
        <v>44755</v>
      </c>
      <c r="T44" s="131">
        <f t="shared" si="54"/>
        <v>44786</v>
      </c>
      <c r="U44" s="131">
        <f t="shared" si="54"/>
        <v>44817</v>
      </c>
      <c r="V44" s="131">
        <f t="shared" si="54"/>
        <v>44848</v>
      </c>
      <c r="W44" s="131">
        <f t="shared" si="54"/>
        <v>44879</v>
      </c>
      <c r="X44" s="131">
        <f t="shared" si="54"/>
        <v>44910</v>
      </c>
      <c r="Y44" s="131">
        <f t="shared" si="54"/>
        <v>44941</v>
      </c>
      <c r="Z44" s="131">
        <f t="shared" si="54"/>
        <v>44972</v>
      </c>
      <c r="AA44" s="131">
        <f t="shared" si="54"/>
        <v>45003</v>
      </c>
      <c r="AB44" s="131">
        <f t="shared" si="54"/>
        <v>45034</v>
      </c>
      <c r="AC44" s="131">
        <f t="shared" si="54"/>
        <v>45065</v>
      </c>
      <c r="AD44" s="131">
        <f t="shared" si="54"/>
        <v>45096</v>
      </c>
      <c r="AE44" s="131">
        <f t="shared" si="54"/>
        <v>45127</v>
      </c>
      <c r="AF44" s="131">
        <f t="shared" si="54"/>
        <v>45158</v>
      </c>
      <c r="AG44" s="131">
        <f t="shared" si="54"/>
        <v>45189</v>
      </c>
      <c r="AH44" s="131">
        <f t="shared" si="54"/>
        <v>45220</v>
      </c>
      <c r="AI44" s="131">
        <f t="shared" si="54"/>
        <v>45251</v>
      </c>
      <c r="AJ44" s="131">
        <f t="shared" si="54"/>
        <v>45282</v>
      </c>
      <c r="AK44" s="131">
        <f t="shared" si="54"/>
        <v>45313</v>
      </c>
      <c r="AL44" s="131">
        <f t="shared" si="54"/>
        <v>45344</v>
      </c>
      <c r="AM44" s="131">
        <f t="shared" si="54"/>
        <v>45375</v>
      </c>
      <c r="AN44" s="131">
        <f t="shared" si="54"/>
        <v>45406</v>
      </c>
      <c r="AO44" s="131">
        <f t="shared" si="54"/>
        <v>45437</v>
      </c>
      <c r="AP44" s="131">
        <f t="shared" si="54"/>
        <v>45468</v>
      </c>
      <c r="AQ44" s="131">
        <f t="shared" si="54"/>
        <v>45499</v>
      </c>
      <c r="AR44" s="131">
        <f t="shared" si="54"/>
        <v>45530</v>
      </c>
      <c r="AS44" s="131">
        <f t="shared" si="54"/>
        <v>45561</v>
      </c>
      <c r="AT44" s="131">
        <f t="shared" si="54"/>
        <v>45592</v>
      </c>
      <c r="AU44" s="131">
        <f t="shared" si="54"/>
        <v>45623</v>
      </c>
      <c r="AV44" s="131">
        <f t="shared" si="54"/>
        <v>45654</v>
      </c>
      <c r="AW44" s="131">
        <f t="shared" si="54"/>
        <v>45685</v>
      </c>
      <c r="AX44" s="131">
        <f t="shared" si="54"/>
        <v>45716</v>
      </c>
      <c r="AY44" s="131">
        <f t="shared" si="54"/>
        <v>45747</v>
      </c>
      <c r="AZ44" s="131">
        <f t="shared" si="54"/>
        <v>45778</v>
      </c>
      <c r="BA44" s="131">
        <f t="shared" si="54"/>
        <v>45809</v>
      </c>
      <c r="BB44" s="131">
        <f t="shared" si="54"/>
        <v>45840</v>
      </c>
      <c r="BC44" s="131">
        <f t="shared" si="54"/>
        <v>45871</v>
      </c>
      <c r="BD44" s="131">
        <f t="shared" si="54"/>
        <v>45902</v>
      </c>
    </row>
    <row r="45" spans="1:56" s="151" customFormat="1" outlineLevel="1" x14ac:dyDescent="0.25">
      <c r="A45" s="151" t="s">
        <v>382</v>
      </c>
      <c r="B45" s="158">
        <f t="shared" ref="B45:AG45" si="55">B39*$I$24</f>
        <v>0</v>
      </c>
      <c r="C45" s="158">
        <f t="shared" si="55"/>
        <v>0</v>
      </c>
      <c r="D45" s="158">
        <f t="shared" si="55"/>
        <v>0</v>
      </c>
      <c r="E45" s="158">
        <f t="shared" si="55"/>
        <v>0</v>
      </c>
      <c r="F45" s="158">
        <f t="shared" si="55"/>
        <v>0</v>
      </c>
      <c r="G45" s="158">
        <f t="shared" si="55"/>
        <v>0</v>
      </c>
      <c r="H45" s="158">
        <f t="shared" si="55"/>
        <v>0</v>
      </c>
      <c r="I45" s="158">
        <f t="shared" si="55"/>
        <v>0</v>
      </c>
      <c r="J45" s="158">
        <f t="shared" si="55"/>
        <v>85419.210171480721</v>
      </c>
      <c r="K45" s="158">
        <f t="shared" si="55"/>
        <v>98413.417092023403</v>
      </c>
      <c r="L45" s="158">
        <f t="shared" si="55"/>
        <v>115770.8924476832</v>
      </c>
      <c r="M45" s="158">
        <f t="shared" si="55"/>
        <v>144878.89275569984</v>
      </c>
      <c r="N45" s="158">
        <f t="shared" si="55"/>
        <v>178035.57546194884</v>
      </c>
      <c r="O45" s="158">
        <f t="shared" si="55"/>
        <v>215717.87022539991</v>
      </c>
      <c r="P45" s="158">
        <f t="shared" si="55"/>
        <v>258455.5108570421</v>
      </c>
      <c r="Q45" s="158">
        <f t="shared" si="55"/>
        <v>306836.90792272438</v>
      </c>
      <c r="R45" s="158">
        <f t="shared" si="55"/>
        <v>361515.72978170682</v>
      </c>
      <c r="S45" s="158">
        <f t="shared" si="55"/>
        <v>423218.29298363242</v>
      </c>
      <c r="T45" s="158">
        <f t="shared" si="55"/>
        <v>492751.88059405173</v>
      </c>
      <c r="U45" s="158">
        <f t="shared" si="55"/>
        <v>571014.12829956645</v>
      </c>
      <c r="V45" s="158">
        <f t="shared" si="55"/>
        <v>659003.64387846971</v>
      </c>
      <c r="W45" s="158">
        <f t="shared" si="55"/>
        <v>757832.05682499893</v>
      </c>
      <c r="X45" s="158">
        <f t="shared" si="55"/>
        <v>868737.73283790972</v>
      </c>
      <c r="Y45" s="158">
        <f t="shared" si="55"/>
        <v>1017103.8119469349</v>
      </c>
      <c r="Z45" s="158">
        <f t="shared" si="55"/>
        <v>1184438.3666702558</v>
      </c>
      <c r="AA45" s="158">
        <f t="shared" si="55"/>
        <v>1372955.2692677984</v>
      </c>
      <c r="AB45" s="158">
        <f t="shared" si="55"/>
        <v>1585127.2861357261</v>
      </c>
      <c r="AC45" s="158">
        <f t="shared" si="55"/>
        <v>1823719.2405658036</v>
      </c>
      <c r="AD45" s="158">
        <f t="shared" si="55"/>
        <v>2091826.2223845832</v>
      </c>
      <c r="AE45" s="158">
        <f t="shared" si="55"/>
        <v>2392917.7754223472</v>
      </c>
      <c r="AF45" s="158">
        <f t="shared" si="55"/>
        <v>2730889.1914454377</v>
      </c>
      <c r="AG45" s="158">
        <f t="shared" si="55"/>
        <v>3110121.2821340063</v>
      </c>
      <c r="AH45" s="158">
        <f t="shared" ref="AH45:BD45" si="56">AH39*$I$24</f>
        <v>3535550.2996174623</v>
      </c>
      <c r="AI45" s="158">
        <f t="shared" si="56"/>
        <v>4012750.0442818105</v>
      </c>
      <c r="AJ45" s="158">
        <f t="shared" si="56"/>
        <v>4548028.6525186291</v>
      </c>
      <c r="AK45" s="158">
        <f t="shared" si="56"/>
        <v>5184808.3596512582</v>
      </c>
      <c r="AL45" s="158">
        <f t="shared" si="56"/>
        <v>5900963.067330882</v>
      </c>
      <c r="AM45" s="158">
        <f t="shared" si="56"/>
        <v>6706524.6101741949</v>
      </c>
      <c r="AN45" s="158">
        <f t="shared" si="56"/>
        <v>7612961.1335681388</v>
      </c>
      <c r="AO45" s="158">
        <f t="shared" si="56"/>
        <v>8633381.0835452192</v>
      </c>
      <c r="AP45" s="158">
        <f t="shared" si="56"/>
        <v>9782855.855007397</v>
      </c>
      <c r="AQ45" s="158">
        <f t="shared" si="56"/>
        <v>11078757.412930015</v>
      </c>
      <c r="AR45" s="158">
        <f t="shared" si="56"/>
        <v>12541178.110735822</v>
      </c>
      <c r="AS45" s="158">
        <f t="shared" si="56"/>
        <v>14193438.694351003</v>
      </c>
      <c r="AT45" s="158">
        <f t="shared" si="56"/>
        <v>16062704.553732522</v>
      </c>
      <c r="AU45" s="158">
        <f t="shared" si="56"/>
        <v>18180735.018990327</v>
      </c>
      <c r="AV45" s="158">
        <f t="shared" si="56"/>
        <v>20584796.368498016</v>
      </c>
      <c r="AW45" s="158">
        <f t="shared" si="56"/>
        <v>22231580.077977858</v>
      </c>
      <c r="AX45" s="158">
        <f t="shared" si="56"/>
        <v>24010106.484216094</v>
      </c>
      <c r="AY45" s="158">
        <f t="shared" si="56"/>
        <v>25930915.00295338</v>
      </c>
      <c r="AZ45" s="158">
        <f t="shared" si="56"/>
        <v>28005388.203189645</v>
      </c>
      <c r="BA45" s="158">
        <f t="shared" si="56"/>
        <v>30245819.259444822</v>
      </c>
      <c r="BB45" s="158">
        <f t="shared" si="56"/>
        <v>32665484.800200406</v>
      </c>
      <c r="BC45" s="158">
        <f t="shared" si="56"/>
        <v>35278723.584216446</v>
      </c>
      <c r="BD45" s="158">
        <f t="shared" si="56"/>
        <v>38101021.470953763</v>
      </c>
    </row>
    <row r="46" spans="1:56" s="151" customFormat="1" outlineLevel="1" x14ac:dyDescent="0.25">
      <c r="A46" s="151" t="s">
        <v>383</v>
      </c>
      <c r="B46" s="158">
        <f t="shared" ref="B46:AG46" si="57">B40*$I$25</f>
        <v>0</v>
      </c>
      <c r="C46" s="158">
        <f t="shared" si="57"/>
        <v>0</v>
      </c>
      <c r="D46" s="158">
        <f t="shared" si="57"/>
        <v>0</v>
      </c>
      <c r="E46" s="158">
        <f t="shared" si="57"/>
        <v>0</v>
      </c>
      <c r="F46" s="158">
        <f t="shared" si="57"/>
        <v>0</v>
      </c>
      <c r="G46" s="158">
        <f t="shared" si="57"/>
        <v>0</v>
      </c>
      <c r="H46" s="158">
        <f t="shared" si="57"/>
        <v>0</v>
      </c>
      <c r="I46" s="158">
        <f t="shared" si="57"/>
        <v>0</v>
      </c>
      <c r="J46" s="158">
        <f t="shared" si="57"/>
        <v>210700.71842298578</v>
      </c>
      <c r="K46" s="158">
        <f t="shared" si="57"/>
        <v>242753.09549365772</v>
      </c>
      <c r="L46" s="158">
        <f t="shared" si="57"/>
        <v>285568.20137095195</v>
      </c>
      <c r="M46" s="158">
        <f t="shared" si="57"/>
        <v>357367.93546405958</v>
      </c>
      <c r="N46" s="158">
        <f t="shared" si="57"/>
        <v>439154.41947280715</v>
      </c>
      <c r="O46" s="158">
        <f t="shared" si="57"/>
        <v>532104.07988931972</v>
      </c>
      <c r="P46" s="158">
        <f t="shared" si="57"/>
        <v>637523.59344737057</v>
      </c>
      <c r="Q46" s="158">
        <f t="shared" si="57"/>
        <v>756864.37287605344</v>
      </c>
      <c r="R46" s="158">
        <f t="shared" si="57"/>
        <v>891738.80012821022</v>
      </c>
      <c r="S46" s="158">
        <f t="shared" si="57"/>
        <v>1043938.4560262935</v>
      </c>
      <c r="T46" s="158">
        <f t="shared" si="57"/>
        <v>1215454.6387986611</v>
      </c>
      <c r="U46" s="158">
        <f t="shared" si="57"/>
        <v>1408501.516472264</v>
      </c>
      <c r="V46" s="158">
        <f t="shared" si="57"/>
        <v>1625542.3215668921</v>
      </c>
      <c r="W46" s="158">
        <f t="shared" si="57"/>
        <v>1869319.0735016642</v>
      </c>
      <c r="X46" s="158">
        <f t="shared" si="57"/>
        <v>2142886.4076668439</v>
      </c>
      <c r="Y46" s="158">
        <f t="shared" si="57"/>
        <v>2508856.0694691064</v>
      </c>
      <c r="Z46" s="158">
        <f t="shared" si="57"/>
        <v>2921614.6377866305</v>
      </c>
      <c r="AA46" s="158">
        <f t="shared" si="57"/>
        <v>3386622.9975272357</v>
      </c>
      <c r="AB46" s="158">
        <f t="shared" si="57"/>
        <v>3909980.6391347912</v>
      </c>
      <c r="AC46" s="158">
        <f t="shared" si="57"/>
        <v>4498507.4600623157</v>
      </c>
      <c r="AD46" s="158">
        <f t="shared" si="57"/>
        <v>5159838.0152153056</v>
      </c>
      <c r="AE46" s="158">
        <f t="shared" si="57"/>
        <v>5902530.5127084563</v>
      </c>
      <c r="AF46" s="158">
        <f t="shared" si="57"/>
        <v>6736193.3388987463</v>
      </c>
      <c r="AG46" s="158">
        <f t="shared" si="57"/>
        <v>7671632.4959305488</v>
      </c>
      <c r="AH46" s="158">
        <f t="shared" ref="AH46:BD46" si="58">AH40*$I$25</f>
        <v>8721024.0723897405</v>
      </c>
      <c r="AI46" s="158">
        <f t="shared" si="58"/>
        <v>9898116.7758951318</v>
      </c>
      <c r="AJ46" s="158">
        <f t="shared" si="58"/>
        <v>11218470.67621262</v>
      </c>
      <c r="AK46" s="158">
        <f t="shared" si="58"/>
        <v>12789193.953806438</v>
      </c>
      <c r="AL46" s="158">
        <f t="shared" si="58"/>
        <v>14555708.899416178</v>
      </c>
      <c r="AM46" s="158">
        <f t="shared" si="58"/>
        <v>16542760.705096345</v>
      </c>
      <c r="AN46" s="158">
        <f t="shared" si="58"/>
        <v>18778637.462801408</v>
      </c>
      <c r="AO46" s="158">
        <f t="shared" si="58"/>
        <v>21295673.339411542</v>
      </c>
      <c r="AP46" s="158">
        <f t="shared" si="58"/>
        <v>24131044.442351583</v>
      </c>
      <c r="AQ46" s="158">
        <f t="shared" si="58"/>
        <v>27327601.618560709</v>
      </c>
      <c r="AR46" s="158">
        <f t="shared" si="58"/>
        <v>30934906.006481696</v>
      </c>
      <c r="AS46" s="158">
        <f t="shared" si="58"/>
        <v>35010482.11273247</v>
      </c>
      <c r="AT46" s="158">
        <f t="shared" si="58"/>
        <v>39621337.899206884</v>
      </c>
      <c r="AU46" s="158">
        <f t="shared" si="58"/>
        <v>44845813.046842806</v>
      </c>
      <c r="AV46" s="158">
        <f t="shared" si="58"/>
        <v>50775831.042295113</v>
      </c>
      <c r="AW46" s="158">
        <f t="shared" si="58"/>
        <v>54837897.525678717</v>
      </c>
      <c r="AX46" s="158">
        <f t="shared" si="58"/>
        <v>59224929.327733025</v>
      </c>
      <c r="AY46" s="158">
        <f t="shared" si="58"/>
        <v>63962923.673951671</v>
      </c>
      <c r="AZ46" s="158">
        <f t="shared" si="58"/>
        <v>69079957.567867801</v>
      </c>
      <c r="BA46" s="158">
        <f t="shared" si="58"/>
        <v>74606354.173297226</v>
      </c>
      <c r="BB46" s="158">
        <f t="shared" si="58"/>
        <v>80574862.507161006</v>
      </c>
      <c r="BC46" s="158">
        <f t="shared" si="58"/>
        <v>87020851.507733896</v>
      </c>
      <c r="BD46" s="158">
        <f t="shared" si="58"/>
        <v>93982519.628352612</v>
      </c>
    </row>
    <row r="47" spans="1:56" s="151" customFormat="1" outlineLevel="1" x14ac:dyDescent="0.25">
      <c r="A47" s="151" t="s">
        <v>384</v>
      </c>
      <c r="B47" s="158">
        <f t="shared" ref="B47:AG47" si="59">B41*$I$26</f>
        <v>0</v>
      </c>
      <c r="C47" s="158">
        <f t="shared" si="59"/>
        <v>0</v>
      </c>
      <c r="D47" s="158">
        <f t="shared" si="59"/>
        <v>0</v>
      </c>
      <c r="E47" s="158">
        <f t="shared" si="59"/>
        <v>0</v>
      </c>
      <c r="F47" s="158">
        <f t="shared" si="59"/>
        <v>0</v>
      </c>
      <c r="G47" s="158">
        <f t="shared" si="59"/>
        <v>0</v>
      </c>
      <c r="H47" s="158">
        <f t="shared" si="59"/>
        <v>0</v>
      </c>
      <c r="I47" s="158">
        <f t="shared" si="59"/>
        <v>0</v>
      </c>
      <c r="J47" s="158">
        <f t="shared" si="59"/>
        <v>199311.49040012169</v>
      </c>
      <c r="K47" s="158">
        <f t="shared" si="59"/>
        <v>229631.30654805459</v>
      </c>
      <c r="L47" s="158">
        <f t="shared" si="59"/>
        <v>270132.08237792749</v>
      </c>
      <c r="M47" s="158">
        <f t="shared" si="59"/>
        <v>338050.74976329959</v>
      </c>
      <c r="N47" s="158">
        <f t="shared" si="59"/>
        <v>415416.34274454729</v>
      </c>
      <c r="O47" s="158">
        <f t="shared" si="59"/>
        <v>503341.69719259976</v>
      </c>
      <c r="P47" s="158">
        <f t="shared" si="59"/>
        <v>603062.85866643162</v>
      </c>
      <c r="Q47" s="158">
        <f t="shared" si="59"/>
        <v>715952.78515302355</v>
      </c>
      <c r="R47" s="158">
        <f t="shared" si="59"/>
        <v>843536.70282398257</v>
      </c>
      <c r="S47" s="158">
        <f t="shared" si="59"/>
        <v>987509.35029514239</v>
      </c>
      <c r="T47" s="158">
        <f t="shared" si="59"/>
        <v>1149754.3880527874</v>
      </c>
      <c r="U47" s="158">
        <f t="shared" si="59"/>
        <v>1332366.2993656551</v>
      </c>
      <c r="V47" s="158">
        <f t="shared" si="59"/>
        <v>1537675.1690497624</v>
      </c>
      <c r="W47" s="158">
        <f t="shared" si="59"/>
        <v>1768274.7992583308</v>
      </c>
      <c r="X47" s="158">
        <f t="shared" si="59"/>
        <v>2027054.7099551223</v>
      </c>
      <c r="Y47" s="158">
        <f t="shared" si="59"/>
        <v>2373242.2278761817</v>
      </c>
      <c r="Z47" s="158">
        <f t="shared" si="59"/>
        <v>2763689.5222305963</v>
      </c>
      <c r="AA47" s="158">
        <f t="shared" si="59"/>
        <v>3203562.2949581961</v>
      </c>
      <c r="AB47" s="158">
        <f t="shared" si="59"/>
        <v>3698630.3343166942</v>
      </c>
      <c r="AC47" s="158">
        <f t="shared" si="59"/>
        <v>4255344.894653542</v>
      </c>
      <c r="AD47" s="158">
        <f t="shared" si="59"/>
        <v>4880927.8522306941</v>
      </c>
      <c r="AE47" s="158">
        <f t="shared" si="59"/>
        <v>5583474.8093188098</v>
      </c>
      <c r="AF47" s="158">
        <f t="shared" si="59"/>
        <v>6372074.7800393542</v>
      </c>
      <c r="AG47" s="158">
        <f t="shared" si="59"/>
        <v>7256949.6583126811</v>
      </c>
      <c r="AH47" s="158">
        <f t="shared" ref="AH47:BD47" si="60">AH41*$I$26</f>
        <v>8249617.3657740792</v>
      </c>
      <c r="AI47" s="158">
        <f t="shared" si="60"/>
        <v>9363083.4366575573</v>
      </c>
      <c r="AJ47" s="158">
        <f t="shared" si="60"/>
        <v>10612066.855876802</v>
      </c>
      <c r="AK47" s="158">
        <f t="shared" si="60"/>
        <v>12097886.172519602</v>
      </c>
      <c r="AL47" s="158">
        <f t="shared" si="60"/>
        <v>13768913.82377206</v>
      </c>
      <c r="AM47" s="158">
        <f t="shared" si="60"/>
        <v>15648557.423739785</v>
      </c>
      <c r="AN47" s="158">
        <f t="shared" si="60"/>
        <v>17763575.978325654</v>
      </c>
      <c r="AO47" s="158">
        <f t="shared" si="60"/>
        <v>20144555.86160551</v>
      </c>
      <c r="AP47" s="158">
        <f t="shared" si="60"/>
        <v>22826663.661683928</v>
      </c>
      <c r="AQ47" s="158">
        <f t="shared" si="60"/>
        <v>25850433.963503368</v>
      </c>
      <c r="AR47" s="158">
        <f t="shared" si="60"/>
        <v>29262748.925050247</v>
      </c>
      <c r="AS47" s="158">
        <f t="shared" si="60"/>
        <v>33118023.620152336</v>
      </c>
      <c r="AT47" s="158">
        <f t="shared" si="60"/>
        <v>37479643.958709218</v>
      </c>
      <c r="AU47" s="158">
        <f t="shared" si="60"/>
        <v>42421715.044310763</v>
      </c>
      <c r="AV47" s="158">
        <f t="shared" si="60"/>
        <v>48031191.526495367</v>
      </c>
      <c r="AW47" s="158">
        <f t="shared" si="60"/>
        <v>51873686.848615006</v>
      </c>
      <c r="AX47" s="158">
        <f t="shared" si="60"/>
        <v>56023581.796504214</v>
      </c>
      <c r="AY47" s="158">
        <f t="shared" si="60"/>
        <v>60505468.340224542</v>
      </c>
      <c r="AZ47" s="158">
        <f t="shared" si="60"/>
        <v>65345905.807442509</v>
      </c>
      <c r="BA47" s="158">
        <f t="shared" si="60"/>
        <v>70573578.272037923</v>
      </c>
      <c r="BB47" s="158">
        <f t="shared" si="60"/>
        <v>76219464.53380096</v>
      </c>
      <c r="BC47" s="158">
        <f t="shared" si="60"/>
        <v>82317021.69650504</v>
      </c>
      <c r="BD47" s="158">
        <f t="shared" si="60"/>
        <v>88902383.432225436</v>
      </c>
    </row>
    <row r="48" spans="1:56" s="151" customFormat="1" x14ac:dyDescent="0.25">
      <c r="A48" s="218" t="s">
        <v>393</v>
      </c>
      <c r="B48" s="223">
        <f>SUM(B45:B47)</f>
        <v>0</v>
      </c>
      <c r="C48" s="223">
        <f t="shared" ref="C48" si="61">SUM(C45:C47)</f>
        <v>0</v>
      </c>
      <c r="D48" s="223">
        <f t="shared" ref="D48" si="62">SUM(D45:D47)</f>
        <v>0</v>
      </c>
      <c r="E48" s="223">
        <f t="shared" ref="E48" si="63">SUM(E45:E47)</f>
        <v>0</v>
      </c>
      <c r="F48" s="223">
        <f t="shared" ref="F48" si="64">SUM(F45:F47)</f>
        <v>0</v>
      </c>
      <c r="G48" s="223">
        <f t="shared" ref="G48" si="65">SUM(G45:G47)</f>
        <v>0</v>
      </c>
      <c r="H48" s="223">
        <f t="shared" ref="H48" si="66">SUM(H45:H47)</f>
        <v>0</v>
      </c>
      <c r="I48" s="223">
        <f t="shared" ref="I48" si="67">SUM(I45:I47)</f>
        <v>0</v>
      </c>
      <c r="J48" s="223">
        <f t="shared" ref="J48" si="68">SUM(J45:J47)</f>
        <v>495431.4189945882</v>
      </c>
      <c r="K48" s="223">
        <f t="shared" ref="K48" si="69">SUM(K45:K47)</f>
        <v>570797.81913373573</v>
      </c>
      <c r="L48" s="223">
        <f t="shared" ref="L48" si="70">SUM(L45:L47)</f>
        <v>671471.17619656259</v>
      </c>
      <c r="M48" s="223">
        <f t="shared" ref="M48" si="71">SUM(M45:M47)</f>
        <v>840297.57798305899</v>
      </c>
      <c r="N48" s="223">
        <f t="shared" ref="N48" si="72">SUM(N45:N47)</f>
        <v>1032606.3376793033</v>
      </c>
      <c r="O48" s="223">
        <f t="shared" ref="O48" si="73">SUM(O45:O47)</f>
        <v>1251163.6473073193</v>
      </c>
      <c r="P48" s="223">
        <f t="shared" ref="P48" si="74">SUM(P45:P47)</f>
        <v>1499041.9629708442</v>
      </c>
      <c r="Q48" s="223">
        <f t="shared" ref="Q48" si="75">SUM(Q45:Q47)</f>
        <v>1779654.0659518014</v>
      </c>
      <c r="R48" s="223">
        <f t="shared" ref="R48" si="76">SUM(R45:R47)</f>
        <v>2096791.2327338997</v>
      </c>
      <c r="S48" s="223">
        <f t="shared" ref="S48" si="77">SUM(S45:S47)</f>
        <v>2454666.0993050681</v>
      </c>
      <c r="T48" s="223">
        <f t="shared" ref="T48" si="78">SUM(T45:T47)</f>
        <v>2857960.9074455001</v>
      </c>
      <c r="U48" s="223">
        <f t="shared" ref="U48" si="79">SUM(U45:U47)</f>
        <v>3311881.9441374857</v>
      </c>
      <c r="V48" s="223">
        <f t="shared" ref="V48" si="80">SUM(V45:V47)</f>
        <v>3822221.1344951242</v>
      </c>
      <c r="W48" s="223">
        <f t="shared" ref="W48" si="81">SUM(W45:W47)</f>
        <v>4395425.929584994</v>
      </c>
      <c r="X48" s="223">
        <f t="shared" ref="X48" si="82">SUM(X45:X47)</f>
        <v>5038678.8504598755</v>
      </c>
      <c r="Y48" s="223">
        <f t="shared" ref="Y48" si="83">SUM(Y45:Y47)</f>
        <v>5899202.1092922231</v>
      </c>
      <c r="Z48" s="223">
        <f t="shared" ref="Z48" si="84">SUM(Z45:Z47)</f>
        <v>6869742.5266874824</v>
      </c>
      <c r="AA48" s="223">
        <f t="shared" ref="AA48" si="85">SUM(AA45:AA47)</f>
        <v>7963140.5617532302</v>
      </c>
      <c r="AB48" s="223">
        <f t="shared" ref="AB48" si="86">SUM(AB45:AB47)</f>
        <v>9193738.2595872115</v>
      </c>
      <c r="AC48" s="223">
        <f t="shared" ref="AC48" si="87">SUM(AC45:AC47)</f>
        <v>10577571.595281661</v>
      </c>
      <c r="AD48" s="223">
        <f t="shared" ref="AD48" si="88">SUM(AD45:AD47)</f>
        <v>12132592.089830583</v>
      </c>
      <c r="AE48" s="223">
        <f t="shared" ref="AE48" si="89">SUM(AE45:AE47)</f>
        <v>13878923.097449612</v>
      </c>
      <c r="AF48" s="223">
        <f t="shared" ref="AF48" si="90">SUM(AF45:AF47)</f>
        <v>15839157.31038354</v>
      </c>
      <c r="AG48" s="223">
        <f t="shared" ref="AG48" si="91">SUM(AG45:AG47)</f>
        <v>18038703.436377235</v>
      </c>
      <c r="AH48" s="223">
        <f t="shared" ref="AH48" si="92">SUM(AH45:AH47)</f>
        <v>20506191.737781283</v>
      </c>
      <c r="AI48" s="223">
        <f t="shared" ref="AI48" si="93">SUM(AI45:AI47)</f>
        <v>23273950.2568345</v>
      </c>
      <c r="AJ48" s="223">
        <f t="shared" ref="AJ48" si="94">SUM(AJ45:AJ47)</f>
        <v>26378566.18460805</v>
      </c>
      <c r="AK48" s="223">
        <f t="shared" ref="AK48" si="95">SUM(AK45:AK47)</f>
        <v>30071888.4859773</v>
      </c>
      <c r="AL48" s="223">
        <f t="shared" ref="AL48" si="96">SUM(AL45:AL47)</f>
        <v>34225585.790519118</v>
      </c>
      <c r="AM48" s="223">
        <f t="shared" ref="AM48" si="97">SUM(AM45:AM47)</f>
        <v>38897842.739010327</v>
      </c>
      <c r="AN48" s="223">
        <f t="shared" ref="AN48" si="98">SUM(AN45:AN47)</f>
        <v>44155174.5746952</v>
      </c>
      <c r="AO48" s="223">
        <f t="shared" ref="AO48" si="99">SUM(AO45:AO47)</f>
        <v>50073610.284562275</v>
      </c>
      <c r="AP48" s="223">
        <f t="shared" ref="AP48" si="100">SUM(AP45:AP47)</f>
        <v>56740563.959042907</v>
      </c>
      <c r="AQ48" s="223">
        <f t="shared" ref="AQ48" si="101">SUM(AQ45:AQ47)</f>
        <v>64256792.994994096</v>
      </c>
      <c r="AR48" s="223">
        <f t="shared" ref="AR48" si="102">SUM(AR45:AR47)</f>
        <v>72738833.04226777</v>
      </c>
      <c r="AS48" s="223">
        <f t="shared" ref="AS48" si="103">SUM(AS45:AS47)</f>
        <v>82321944.427235812</v>
      </c>
      <c r="AT48" s="223">
        <f t="shared" ref="AT48" si="104">SUM(AT45:AT47)</f>
        <v>93163686.411648631</v>
      </c>
      <c r="AU48" s="223">
        <f t="shared" ref="AU48" si="105">SUM(AU45:AU47)</f>
        <v>105448263.1101439</v>
      </c>
      <c r="AV48" s="223">
        <f t="shared" ref="AV48" si="106">SUM(AV45:AV47)</f>
        <v>119391818.93728849</v>
      </c>
      <c r="AW48" s="223">
        <f t="shared" ref="AW48" si="107">SUM(AW45:AW47)</f>
        <v>128943164.45227158</v>
      </c>
      <c r="AX48" s="223">
        <f t="shared" ref="AX48" si="108">SUM(AX45:AX47)</f>
        <v>139258617.60845333</v>
      </c>
      <c r="AY48" s="223">
        <f t="shared" ref="AY48" si="109">SUM(AY45:AY47)</f>
        <v>150399307.0171296</v>
      </c>
      <c r="AZ48" s="223">
        <f t="shared" ref="AZ48" si="110">SUM(AZ45:AZ47)</f>
        <v>162431251.57849994</v>
      </c>
      <c r="BA48" s="223">
        <f t="shared" ref="BA48" si="111">SUM(BA45:BA47)</f>
        <v>175425751.70477998</v>
      </c>
      <c r="BB48" s="223">
        <f t="shared" ref="BB48" si="112">SUM(BB45:BB47)</f>
        <v>189459811.84116238</v>
      </c>
      <c r="BC48" s="223">
        <f t="shared" ref="BC48" si="113">SUM(BC45:BC47)</f>
        <v>204616596.78845537</v>
      </c>
      <c r="BD48" s="223">
        <f t="shared" ref="BD48" si="114">SUM(BD45:BD47)</f>
        <v>220985924.53153181</v>
      </c>
    </row>
    <row r="49" spans="1:56" s="151" customFormat="1" x14ac:dyDescent="0.25">
      <c r="B49" s="155"/>
    </row>
    <row r="50" spans="1:56" s="151" customFormat="1" x14ac:dyDescent="0.25">
      <c r="A50" s="23" t="s">
        <v>54</v>
      </c>
      <c r="B50" s="24">
        <f>B44</f>
        <v>44228</v>
      </c>
      <c r="C50" s="24">
        <f t="shared" ref="C50:M50" si="115">C44</f>
        <v>44259</v>
      </c>
      <c r="D50" s="24">
        <f t="shared" si="115"/>
        <v>44290</v>
      </c>
      <c r="E50" s="24">
        <f t="shared" si="115"/>
        <v>44321</v>
      </c>
      <c r="F50" s="24">
        <f t="shared" si="115"/>
        <v>44352</v>
      </c>
      <c r="G50" s="24">
        <f t="shared" si="115"/>
        <v>44383</v>
      </c>
      <c r="H50" s="24">
        <f t="shared" si="115"/>
        <v>44414</v>
      </c>
      <c r="I50" s="24">
        <f t="shared" si="115"/>
        <v>44445</v>
      </c>
      <c r="J50" s="24">
        <f t="shared" si="115"/>
        <v>44476</v>
      </c>
      <c r="K50" s="24">
        <f t="shared" si="115"/>
        <v>44507</v>
      </c>
      <c r="L50" s="24">
        <f t="shared" si="115"/>
        <v>44538</v>
      </c>
      <c r="M50" s="24">
        <f t="shared" si="115"/>
        <v>44569</v>
      </c>
      <c r="N50" s="24">
        <f t="shared" ref="N50:BD50" si="116">N44</f>
        <v>44600</v>
      </c>
      <c r="O50" s="24">
        <f t="shared" si="116"/>
        <v>44631</v>
      </c>
      <c r="P50" s="24">
        <f t="shared" si="116"/>
        <v>44662</v>
      </c>
      <c r="Q50" s="24">
        <f t="shared" si="116"/>
        <v>44693</v>
      </c>
      <c r="R50" s="24">
        <f t="shared" si="116"/>
        <v>44724</v>
      </c>
      <c r="S50" s="24">
        <f t="shared" si="116"/>
        <v>44755</v>
      </c>
      <c r="T50" s="24">
        <f t="shared" si="116"/>
        <v>44786</v>
      </c>
      <c r="U50" s="24">
        <f t="shared" si="116"/>
        <v>44817</v>
      </c>
      <c r="V50" s="24">
        <f t="shared" si="116"/>
        <v>44848</v>
      </c>
      <c r="W50" s="24">
        <f t="shared" si="116"/>
        <v>44879</v>
      </c>
      <c r="X50" s="24">
        <f t="shared" si="116"/>
        <v>44910</v>
      </c>
      <c r="Y50" s="24">
        <f t="shared" si="116"/>
        <v>44941</v>
      </c>
      <c r="Z50" s="24">
        <f t="shared" si="116"/>
        <v>44972</v>
      </c>
      <c r="AA50" s="24">
        <f t="shared" si="116"/>
        <v>45003</v>
      </c>
      <c r="AB50" s="24">
        <f t="shared" si="116"/>
        <v>45034</v>
      </c>
      <c r="AC50" s="24">
        <f t="shared" si="116"/>
        <v>45065</v>
      </c>
      <c r="AD50" s="24">
        <f t="shared" si="116"/>
        <v>45096</v>
      </c>
      <c r="AE50" s="24">
        <f t="shared" si="116"/>
        <v>45127</v>
      </c>
      <c r="AF50" s="24">
        <f t="shared" si="116"/>
        <v>45158</v>
      </c>
      <c r="AG50" s="24">
        <f t="shared" si="116"/>
        <v>45189</v>
      </c>
      <c r="AH50" s="24">
        <f t="shared" si="116"/>
        <v>45220</v>
      </c>
      <c r="AI50" s="24">
        <f t="shared" si="116"/>
        <v>45251</v>
      </c>
      <c r="AJ50" s="24">
        <f t="shared" si="116"/>
        <v>45282</v>
      </c>
      <c r="AK50" s="24">
        <f t="shared" si="116"/>
        <v>45313</v>
      </c>
      <c r="AL50" s="24">
        <f t="shared" si="116"/>
        <v>45344</v>
      </c>
      <c r="AM50" s="24">
        <f t="shared" si="116"/>
        <v>45375</v>
      </c>
      <c r="AN50" s="24">
        <f t="shared" si="116"/>
        <v>45406</v>
      </c>
      <c r="AO50" s="24">
        <f t="shared" si="116"/>
        <v>45437</v>
      </c>
      <c r="AP50" s="24">
        <f t="shared" si="116"/>
        <v>45468</v>
      </c>
      <c r="AQ50" s="24">
        <f t="shared" si="116"/>
        <v>45499</v>
      </c>
      <c r="AR50" s="24">
        <f t="shared" si="116"/>
        <v>45530</v>
      </c>
      <c r="AS50" s="24">
        <f t="shared" si="116"/>
        <v>45561</v>
      </c>
      <c r="AT50" s="24">
        <f t="shared" si="116"/>
        <v>45592</v>
      </c>
      <c r="AU50" s="24">
        <f t="shared" si="116"/>
        <v>45623</v>
      </c>
      <c r="AV50" s="24">
        <f t="shared" si="116"/>
        <v>45654</v>
      </c>
      <c r="AW50" s="24">
        <f t="shared" si="116"/>
        <v>45685</v>
      </c>
      <c r="AX50" s="24">
        <f t="shared" si="116"/>
        <v>45716</v>
      </c>
      <c r="AY50" s="24">
        <f t="shared" si="116"/>
        <v>45747</v>
      </c>
      <c r="AZ50" s="24">
        <f t="shared" si="116"/>
        <v>45778</v>
      </c>
      <c r="BA50" s="24">
        <f t="shared" si="116"/>
        <v>45809</v>
      </c>
      <c r="BB50" s="24">
        <f t="shared" si="116"/>
        <v>45840</v>
      </c>
      <c r="BC50" s="24">
        <f t="shared" si="116"/>
        <v>45871</v>
      </c>
      <c r="BD50" s="24">
        <f t="shared" si="116"/>
        <v>45902</v>
      </c>
    </row>
    <row r="51" spans="1:56" s="151" customFormat="1" x14ac:dyDescent="0.25">
      <c r="A51" s="18" t="s">
        <v>398</v>
      </c>
      <c r="B51" s="155">
        <f t="shared" ref="B51:AG51" si="117">B48*$B$30</f>
        <v>0</v>
      </c>
      <c r="C51" s="155">
        <f t="shared" si="117"/>
        <v>0</v>
      </c>
      <c r="D51" s="155">
        <f t="shared" si="117"/>
        <v>0</v>
      </c>
      <c r="E51" s="155">
        <f t="shared" si="117"/>
        <v>0</v>
      </c>
      <c r="F51" s="155">
        <f t="shared" si="117"/>
        <v>0</v>
      </c>
      <c r="G51" s="155">
        <f t="shared" si="117"/>
        <v>0</v>
      </c>
      <c r="H51" s="155">
        <f t="shared" si="117"/>
        <v>0</v>
      </c>
      <c r="I51" s="155">
        <f t="shared" si="117"/>
        <v>0</v>
      </c>
      <c r="J51" s="155">
        <f t="shared" si="117"/>
        <v>99086.283798917648</v>
      </c>
      <c r="K51" s="155">
        <f t="shared" si="117"/>
        <v>114159.56382674715</v>
      </c>
      <c r="L51" s="155">
        <f t="shared" si="117"/>
        <v>134294.23523931252</v>
      </c>
      <c r="M51" s="155">
        <f t="shared" si="117"/>
        <v>168059.5155966118</v>
      </c>
      <c r="N51" s="155">
        <f t="shared" si="117"/>
        <v>206521.26753586065</v>
      </c>
      <c r="O51" s="155">
        <f t="shared" si="117"/>
        <v>250232.72946146387</v>
      </c>
      <c r="P51" s="155">
        <f t="shared" si="117"/>
        <v>299808.39259416884</v>
      </c>
      <c r="Q51" s="155">
        <f t="shared" si="117"/>
        <v>355930.81319036032</v>
      </c>
      <c r="R51" s="155">
        <f t="shared" si="117"/>
        <v>419358.24654677999</v>
      </c>
      <c r="S51" s="155">
        <f t="shared" si="117"/>
        <v>490933.21986101364</v>
      </c>
      <c r="T51" s="155">
        <f t="shared" si="117"/>
        <v>571592.1814891001</v>
      </c>
      <c r="U51" s="155">
        <f t="shared" si="117"/>
        <v>662376.38882749714</v>
      </c>
      <c r="V51" s="155">
        <f t="shared" si="117"/>
        <v>764444.22689902491</v>
      </c>
      <c r="W51" s="155">
        <f t="shared" si="117"/>
        <v>879085.18591699889</v>
      </c>
      <c r="X51" s="155">
        <f t="shared" si="117"/>
        <v>1007735.7700919751</v>
      </c>
      <c r="Y51" s="155">
        <f t="shared" si="117"/>
        <v>1179840.4218584446</v>
      </c>
      <c r="Z51" s="155">
        <f t="shared" si="117"/>
        <v>1373948.5053374965</v>
      </c>
      <c r="AA51" s="155">
        <f t="shared" si="117"/>
        <v>1592628.1123506462</v>
      </c>
      <c r="AB51" s="155">
        <f t="shared" si="117"/>
        <v>1838747.6519174424</v>
      </c>
      <c r="AC51" s="155">
        <f t="shared" si="117"/>
        <v>2115514.3190563321</v>
      </c>
      <c r="AD51" s="155">
        <f t="shared" si="117"/>
        <v>2426518.4179661167</v>
      </c>
      <c r="AE51" s="155">
        <f t="shared" si="117"/>
        <v>2775784.6194899227</v>
      </c>
      <c r="AF51" s="155">
        <f t="shared" si="117"/>
        <v>3167831.4620767082</v>
      </c>
      <c r="AG51" s="155">
        <f t="shared" si="117"/>
        <v>3607740.687275447</v>
      </c>
      <c r="AH51" s="155">
        <f t="shared" ref="AH51:BD51" si="118">AH48*$B$30</f>
        <v>4101238.3475562567</v>
      </c>
      <c r="AI51" s="155">
        <f t="shared" si="118"/>
        <v>4654790.0513669001</v>
      </c>
      <c r="AJ51" s="155">
        <f t="shared" si="118"/>
        <v>5275713.2369216103</v>
      </c>
      <c r="AK51" s="155">
        <f t="shared" si="118"/>
        <v>6014377.6971954601</v>
      </c>
      <c r="AL51" s="155">
        <f t="shared" si="118"/>
        <v>6845117.1581038237</v>
      </c>
      <c r="AM51" s="155">
        <f t="shared" si="118"/>
        <v>7779568.5478020655</v>
      </c>
      <c r="AN51" s="155">
        <f t="shared" si="118"/>
        <v>8831034.9149390403</v>
      </c>
      <c r="AO51" s="155">
        <f t="shared" si="118"/>
        <v>10014722.056912456</v>
      </c>
      <c r="AP51" s="155">
        <f t="shared" si="118"/>
        <v>11348112.791808583</v>
      </c>
      <c r="AQ51" s="155">
        <f t="shared" si="118"/>
        <v>12851358.59899882</v>
      </c>
      <c r="AR51" s="155">
        <f t="shared" si="118"/>
        <v>14547766.608453555</v>
      </c>
      <c r="AS51" s="155">
        <f t="shared" si="118"/>
        <v>16464388.885447163</v>
      </c>
      <c r="AT51" s="155">
        <f t="shared" si="118"/>
        <v>18632737.282329727</v>
      </c>
      <c r="AU51" s="155">
        <f t="shared" si="118"/>
        <v>21089652.622028783</v>
      </c>
      <c r="AV51" s="155">
        <f t="shared" si="118"/>
        <v>23878363.787457701</v>
      </c>
      <c r="AW51" s="155">
        <f t="shared" si="118"/>
        <v>25788632.890454318</v>
      </c>
      <c r="AX51" s="155">
        <f t="shared" si="118"/>
        <v>27851723.521690667</v>
      </c>
      <c r="AY51" s="155">
        <f t="shared" si="118"/>
        <v>30079861.403425921</v>
      </c>
      <c r="AZ51" s="155">
        <f t="shared" si="118"/>
        <v>32486250.315699991</v>
      </c>
      <c r="BA51" s="155">
        <f t="shared" si="118"/>
        <v>35085150.340955995</v>
      </c>
      <c r="BB51" s="155">
        <f t="shared" si="118"/>
        <v>37891962.368232481</v>
      </c>
      <c r="BC51" s="155">
        <f t="shared" si="118"/>
        <v>40923319.357691079</v>
      </c>
      <c r="BD51" s="155">
        <f t="shared" si="118"/>
        <v>44197184.906306364</v>
      </c>
    </row>
    <row r="52" spans="1:56" s="151" customFormat="1" x14ac:dyDescent="0.25">
      <c r="A52" s="150" t="s">
        <v>411</v>
      </c>
      <c r="B52" s="161" t="e">
        <f t="shared" ref="B52:F52" si="119">(B51-A51)/B51</f>
        <v>#VALUE!</v>
      </c>
      <c r="C52" s="161" t="e">
        <f t="shared" si="119"/>
        <v>#DIV/0!</v>
      </c>
      <c r="D52" s="161" t="e">
        <f t="shared" si="119"/>
        <v>#DIV/0!</v>
      </c>
      <c r="E52" s="161" t="e">
        <f t="shared" si="119"/>
        <v>#DIV/0!</v>
      </c>
      <c r="F52" s="161" t="e">
        <f t="shared" si="119"/>
        <v>#DIV/0!</v>
      </c>
      <c r="G52" s="161" t="e">
        <f>(G51-F51)/G51</f>
        <v>#DIV/0!</v>
      </c>
      <c r="H52" s="161" t="e">
        <f t="shared" ref="H52:M52" si="120">(H51-G51)/H51</f>
        <v>#DIV/0!</v>
      </c>
      <c r="I52" s="161" t="e">
        <f t="shared" si="120"/>
        <v>#DIV/0!</v>
      </c>
      <c r="J52" s="161">
        <f t="shared" si="120"/>
        <v>1</v>
      </c>
      <c r="K52" s="161">
        <f t="shared" si="120"/>
        <v>0.13203694480389991</v>
      </c>
      <c r="L52" s="161">
        <f t="shared" si="120"/>
        <v>0.14992952881920324</v>
      </c>
      <c r="M52" s="161">
        <f t="shared" si="120"/>
        <v>0.20091263643973051</v>
      </c>
      <c r="N52" s="161">
        <f t="shared" ref="N52" si="121">(N51-M51)/N51</f>
        <v>0.18623627676781662</v>
      </c>
      <c r="O52" s="161">
        <f t="shared" ref="O52" si="122">(O51-N51)/O51</f>
        <v>0.17468323196440549</v>
      </c>
      <c r="P52" s="161">
        <f t="shared" ref="P52" si="123">(P51-O51)/P51</f>
        <v>0.16535782305404748</v>
      </c>
      <c r="Q52" s="161">
        <f t="shared" ref="Q52" si="124">(Q51-P51)/Q51</f>
        <v>0.15767789277118829</v>
      </c>
      <c r="R52" s="161">
        <f t="shared" ref="R52" si="125">(R51-Q51)/R51</f>
        <v>0.1512488042830088</v>
      </c>
      <c r="S52" s="161">
        <f t="shared" ref="S52" si="126">(S51-R51)/S51</f>
        <v>0.14579370557669125</v>
      </c>
      <c r="T52" s="161">
        <f t="shared" ref="T52" si="127">(T51-S51)/T51</f>
        <v>0.14111277977588044</v>
      </c>
      <c r="U52" s="161">
        <f t="shared" ref="U52" si="128">(U51-T51)/U51</f>
        <v>0.13705833853633934</v>
      </c>
      <c r="V52" s="161">
        <f t="shared" ref="V52" si="129">(V51-U51)/V51</f>
        <v>0.13351901221828427</v>
      </c>
      <c r="W52" s="161">
        <f t="shared" ref="W52" si="130">(W51-V51)/W51</f>
        <v>0.13040938563694338</v>
      </c>
      <c r="X52" s="161">
        <f t="shared" ref="X52" si="131">(X51-W51)/X51</f>
        <v>0.12766301246132644</v>
      </c>
      <c r="Y52" s="161">
        <f t="shared" ref="Y52" si="132">(Y51-X51)/Y51</f>
        <v>0.14587112678795669</v>
      </c>
      <c r="Z52" s="161">
        <f t="shared" ref="Z52" si="133">(Z51-Y51)/Z51</f>
        <v>0.14127755350727009</v>
      </c>
      <c r="AA52" s="161">
        <f t="shared" ref="AA52" si="134">(AA51-Z51)/AA51</f>
        <v>0.13730738853428159</v>
      </c>
      <c r="AB52" s="161">
        <f t="shared" ref="AB52" si="135">(AB51-AA51)/AB51</f>
        <v>0.13385172201859419</v>
      </c>
      <c r="AC52" s="161">
        <f t="shared" ref="AC52" si="136">(AC51-AB51)/AC51</f>
        <v>0.1308271301431545</v>
      </c>
      <c r="AD52" s="161">
        <f t="shared" ref="AD52" si="137">(AD51-AC51)/AD51</f>
        <v>0.12816885979809092</v>
      </c>
      <c r="AE52" s="161">
        <f t="shared" ref="AE52" si="138">(AE51-AD51)/AE51</f>
        <v>0.12582611744134062</v>
      </c>
      <c r="AF52" s="161">
        <f t="shared" ref="AF52" si="139">(AF51-AE51)/AF51</f>
        <v>0.12375874388524911</v>
      </c>
      <c r="AG52" s="161">
        <f t="shared" ref="AG52" si="140">(AG51-AF51)/AG51</f>
        <v>0.12193482384981406</v>
      </c>
      <c r="AH52" s="161">
        <f t="shared" ref="AH52" si="141">(AH51-AG51)/AH51</f>
        <v>0.12032893932508526</v>
      </c>
      <c r="AI52" s="161">
        <f t="shared" ref="AI52" si="142">(AI51-AH51)/AI51</f>
        <v>0.11892087456191294</v>
      </c>
      <c r="AJ52" s="161">
        <f t="shared" ref="AJ52" si="143">(AJ51-AI51)/AJ51</f>
        <v>0.11769464291751768</v>
      </c>
      <c r="AK52" s="161">
        <f t="shared" ref="AK52" si="144">(AK51-AJ51)/AK51</f>
        <v>0.12281644044707957</v>
      </c>
      <c r="AL52" s="161">
        <f t="shared" ref="AL52" si="145">(AL51-AK51)/AL51</f>
        <v>0.12136234365614393</v>
      </c>
      <c r="AM52" s="161">
        <f t="shared" ref="AM52" si="146">(AM51-AL51)/AM51</f>
        <v>0.12011609435104845</v>
      </c>
      <c r="AN52" s="161">
        <f t="shared" ref="AN52" si="147">(AN51-AM51)/AN51</f>
        <v>0.11906490884304617</v>
      </c>
      <c r="AO52" s="161">
        <f t="shared" ref="AO52" si="148">(AO51-AN51)/AO51</f>
        <v>0.1181947072766138</v>
      </c>
      <c r="AP52" s="161">
        <f t="shared" ref="AP52" si="149">(AP51-AO51)/AP51</f>
        <v>0.11749889689663727</v>
      </c>
      <c r="AQ52" s="161">
        <f t="shared" ref="AQ52" si="150">(AQ51-AP51)/AQ51</f>
        <v>0.11697174237339757</v>
      </c>
      <c r="AR52" s="161">
        <f t="shared" ref="AR52" si="151">(AR51-AQ51)/AR51</f>
        <v>0.11660951506253679</v>
      </c>
      <c r="AS52" s="161">
        <f t="shared" ref="AS52" si="152">(AS51-AR51)/AS51</f>
        <v>0.11641016804988774</v>
      </c>
      <c r="AT52" s="161">
        <f t="shared" ref="AT52" si="153">(AT51-AS51)/AT51</f>
        <v>0.11637304621575421</v>
      </c>
      <c r="AU52" s="161">
        <f t="shared" ref="AU52" si="154">(AU51-AT51)/AU51</f>
        <v>0.11649861587254089</v>
      </c>
      <c r="AV52" s="161">
        <f t="shared" ref="AV52" si="155">(AV51-AU51)/AV51</f>
        <v>0.11678820166454246</v>
      </c>
      <c r="AW52" s="161">
        <f t="shared" ref="AW52" si="156">(AW51-AV51)/AW51</f>
        <v>7.4074074074074125E-2</v>
      </c>
      <c r="AX52" s="161">
        <f t="shared" ref="AX52" si="157">(AX51-AW51)/AX51</f>
        <v>7.4074074074074167E-2</v>
      </c>
      <c r="AY52" s="161">
        <f t="shared" ref="AY52" si="158">(AY51-AX51)/AY51</f>
        <v>7.4074074074074098E-2</v>
      </c>
      <c r="AZ52" s="161">
        <f t="shared" ref="AZ52" si="159">(AZ51-AY51)/AZ51</f>
        <v>7.4074074074073973E-2</v>
      </c>
      <c r="BA52" s="161">
        <f t="shared" ref="BA52" si="160">(BA51-AZ51)/BA51</f>
        <v>7.4074074074074209E-2</v>
      </c>
      <c r="BB52" s="161">
        <f t="shared" ref="BB52" si="161">(BB51-BA51)/BB51</f>
        <v>7.4074074074074236E-2</v>
      </c>
      <c r="BC52" s="161">
        <f t="shared" ref="BC52" si="162">(BC51-BB51)/BC51</f>
        <v>7.407407407407407E-2</v>
      </c>
      <c r="BD52" s="161">
        <f t="shared" ref="BD52" si="163">(BD51-BC51)/BD51</f>
        <v>7.4074074074074028E-2</v>
      </c>
    </row>
    <row r="53" spans="1:56" s="74" customFormat="1" x14ac:dyDescent="0.25">
      <c r="A53" s="451" t="s">
        <v>554</v>
      </c>
      <c r="B53" s="452">
        <f>B51*$B$32</f>
        <v>0</v>
      </c>
      <c r="C53" s="452">
        <f t="shared" ref="C53:BD53" si="164">C51*$B$32</f>
        <v>0</v>
      </c>
      <c r="D53" s="452">
        <f t="shared" si="164"/>
        <v>0</v>
      </c>
      <c r="E53" s="452">
        <f t="shared" si="164"/>
        <v>0</v>
      </c>
      <c r="F53" s="452">
        <f t="shared" si="164"/>
        <v>0</v>
      </c>
      <c r="G53" s="452">
        <f t="shared" si="164"/>
        <v>0</v>
      </c>
      <c r="H53" s="452">
        <f t="shared" si="164"/>
        <v>0</v>
      </c>
      <c r="I53" s="452">
        <f t="shared" si="164"/>
        <v>0</v>
      </c>
      <c r="J53" s="452">
        <f t="shared" si="164"/>
        <v>19817.25675978353</v>
      </c>
      <c r="K53" s="452">
        <f t="shared" si="164"/>
        <v>22831.912765349432</v>
      </c>
      <c r="L53" s="452">
        <f t="shared" si="164"/>
        <v>26858.847047862506</v>
      </c>
      <c r="M53" s="452">
        <f t="shared" si="164"/>
        <v>33611.903119322364</v>
      </c>
      <c r="N53" s="452">
        <f t="shared" si="164"/>
        <v>41304.253507172136</v>
      </c>
      <c r="O53" s="452">
        <f t="shared" si="164"/>
        <v>50046.545892292779</v>
      </c>
      <c r="P53" s="452">
        <f t="shared" si="164"/>
        <v>59961.678518833767</v>
      </c>
      <c r="Q53" s="452">
        <f t="shared" si="164"/>
        <v>71186.16263807207</v>
      </c>
      <c r="R53" s="452">
        <f t="shared" si="164"/>
        <v>83871.649309355998</v>
      </c>
      <c r="S53" s="452">
        <f t="shared" si="164"/>
        <v>98186.643972202728</v>
      </c>
      <c r="T53" s="452">
        <f t="shared" si="164"/>
        <v>114318.43629782002</v>
      </c>
      <c r="U53" s="452">
        <f t="shared" si="164"/>
        <v>132475.27776549943</v>
      </c>
      <c r="V53" s="452">
        <f t="shared" si="164"/>
        <v>152888.84537980499</v>
      </c>
      <c r="W53" s="452">
        <f t="shared" si="164"/>
        <v>175817.03718339978</v>
      </c>
      <c r="X53" s="452">
        <f t="shared" si="164"/>
        <v>201547.15401839503</v>
      </c>
      <c r="Y53" s="452">
        <f t="shared" si="164"/>
        <v>235968.08437168892</v>
      </c>
      <c r="Z53" s="452">
        <f t="shared" si="164"/>
        <v>274789.70106749929</v>
      </c>
      <c r="AA53" s="452">
        <f t="shared" si="164"/>
        <v>318525.62247012928</v>
      </c>
      <c r="AB53" s="452">
        <f t="shared" si="164"/>
        <v>367749.53038348851</v>
      </c>
      <c r="AC53" s="452">
        <f t="shared" si="164"/>
        <v>423102.86381126643</v>
      </c>
      <c r="AD53" s="452">
        <f t="shared" si="164"/>
        <v>485303.68359322334</v>
      </c>
      <c r="AE53" s="452">
        <f t="shared" si="164"/>
        <v>555156.92389798455</v>
      </c>
      <c r="AF53" s="452">
        <f t="shared" si="164"/>
        <v>633566.29241534171</v>
      </c>
      <c r="AG53" s="452">
        <f t="shared" si="164"/>
        <v>721548.13745508948</v>
      </c>
      <c r="AH53" s="452">
        <f t="shared" si="164"/>
        <v>820247.66951125138</v>
      </c>
      <c r="AI53" s="452">
        <f t="shared" si="164"/>
        <v>930958.01027338009</v>
      </c>
      <c r="AJ53" s="452">
        <f t="shared" si="164"/>
        <v>1055142.647384322</v>
      </c>
      <c r="AK53" s="452">
        <f t="shared" si="164"/>
        <v>1202875.5394390922</v>
      </c>
      <c r="AL53" s="452">
        <f t="shared" si="164"/>
        <v>1369023.4316207648</v>
      </c>
      <c r="AM53" s="452">
        <f t="shared" si="164"/>
        <v>1555913.7095604131</v>
      </c>
      <c r="AN53" s="452">
        <f t="shared" si="164"/>
        <v>1766206.9829878081</v>
      </c>
      <c r="AO53" s="452">
        <f t="shared" si="164"/>
        <v>2002944.4113824912</v>
      </c>
      <c r="AP53" s="452">
        <f t="shared" si="164"/>
        <v>2269622.5583617166</v>
      </c>
      <c r="AQ53" s="452">
        <f t="shared" si="164"/>
        <v>2570271.7197997645</v>
      </c>
      <c r="AR53" s="452">
        <f t="shared" si="164"/>
        <v>2909553.3216907112</v>
      </c>
      <c r="AS53" s="452">
        <f t="shared" si="164"/>
        <v>3292877.7770894328</v>
      </c>
      <c r="AT53" s="452">
        <f t="shared" si="164"/>
        <v>3726547.4564659456</v>
      </c>
      <c r="AU53" s="452">
        <f t="shared" si="164"/>
        <v>4217930.524405757</v>
      </c>
      <c r="AV53" s="452">
        <f t="shared" si="164"/>
        <v>4775672.7574915402</v>
      </c>
      <c r="AW53" s="452">
        <f t="shared" si="164"/>
        <v>5157726.5780908642</v>
      </c>
      <c r="AX53" s="452">
        <f t="shared" si="164"/>
        <v>5570344.7043381333</v>
      </c>
      <c r="AY53" s="452">
        <f t="shared" si="164"/>
        <v>6015972.2806851845</v>
      </c>
      <c r="AZ53" s="452">
        <f t="shared" si="164"/>
        <v>6497250.0631399984</v>
      </c>
      <c r="BA53" s="452">
        <f t="shared" si="164"/>
        <v>7017030.0681911996</v>
      </c>
      <c r="BB53" s="452">
        <f t="shared" si="164"/>
        <v>7578392.4736464964</v>
      </c>
      <c r="BC53" s="452">
        <f t="shared" si="164"/>
        <v>8184663.8715382162</v>
      </c>
      <c r="BD53" s="452">
        <f t="shared" si="164"/>
        <v>8839436.9812612738</v>
      </c>
    </row>
    <row r="54" spans="1:56" s="151" customFormat="1" x14ac:dyDescent="0.25">
      <c r="B54" s="155"/>
      <c r="N54" s="221"/>
    </row>
    <row r="55" spans="1:56" s="151" customFormat="1" x14ac:dyDescent="0.25">
      <c r="A55" s="9" t="s">
        <v>55</v>
      </c>
      <c r="B55" s="62">
        <f>B15</f>
        <v>44228</v>
      </c>
      <c r="C55" s="62">
        <f>B55+31</f>
        <v>44259</v>
      </c>
      <c r="D55" s="62">
        <f t="shared" ref="D55:M55" si="165">C55+31</f>
        <v>44290</v>
      </c>
      <c r="E55" s="62">
        <f t="shared" si="165"/>
        <v>44321</v>
      </c>
      <c r="F55" s="62">
        <f t="shared" si="165"/>
        <v>44352</v>
      </c>
      <c r="G55" s="62">
        <f t="shared" si="165"/>
        <v>44383</v>
      </c>
      <c r="H55" s="62">
        <f t="shared" si="165"/>
        <v>44414</v>
      </c>
      <c r="I55" s="62">
        <f t="shared" si="165"/>
        <v>44445</v>
      </c>
      <c r="J55" s="62">
        <f t="shared" si="165"/>
        <v>44476</v>
      </c>
      <c r="K55" s="62">
        <f t="shared" si="165"/>
        <v>44507</v>
      </c>
      <c r="L55" s="62">
        <f t="shared" si="165"/>
        <v>44538</v>
      </c>
      <c r="M55" s="62">
        <f t="shared" si="165"/>
        <v>44569</v>
      </c>
      <c r="N55" s="62">
        <f t="shared" ref="N55:BD55" si="166">M55+31</f>
        <v>44600</v>
      </c>
      <c r="O55" s="62">
        <f t="shared" si="166"/>
        <v>44631</v>
      </c>
      <c r="P55" s="62">
        <f t="shared" si="166"/>
        <v>44662</v>
      </c>
      <c r="Q55" s="62">
        <f t="shared" si="166"/>
        <v>44693</v>
      </c>
      <c r="R55" s="62">
        <f t="shared" si="166"/>
        <v>44724</v>
      </c>
      <c r="S55" s="62">
        <f t="shared" si="166"/>
        <v>44755</v>
      </c>
      <c r="T55" s="62">
        <f t="shared" si="166"/>
        <v>44786</v>
      </c>
      <c r="U55" s="62">
        <f t="shared" si="166"/>
        <v>44817</v>
      </c>
      <c r="V55" s="62">
        <f t="shared" si="166"/>
        <v>44848</v>
      </c>
      <c r="W55" s="62">
        <f t="shared" si="166"/>
        <v>44879</v>
      </c>
      <c r="X55" s="62">
        <f t="shared" si="166"/>
        <v>44910</v>
      </c>
      <c r="Y55" s="62">
        <f t="shared" si="166"/>
        <v>44941</v>
      </c>
      <c r="Z55" s="62">
        <f t="shared" si="166"/>
        <v>44972</v>
      </c>
      <c r="AA55" s="62">
        <f t="shared" si="166"/>
        <v>45003</v>
      </c>
      <c r="AB55" s="62">
        <f t="shared" si="166"/>
        <v>45034</v>
      </c>
      <c r="AC55" s="62">
        <f t="shared" si="166"/>
        <v>45065</v>
      </c>
      <c r="AD55" s="62">
        <f t="shared" si="166"/>
        <v>45096</v>
      </c>
      <c r="AE55" s="62">
        <f t="shared" si="166"/>
        <v>45127</v>
      </c>
      <c r="AF55" s="62">
        <f t="shared" si="166"/>
        <v>45158</v>
      </c>
      <c r="AG55" s="62">
        <f t="shared" si="166"/>
        <v>45189</v>
      </c>
      <c r="AH55" s="62">
        <f t="shared" si="166"/>
        <v>45220</v>
      </c>
      <c r="AI55" s="62">
        <f t="shared" si="166"/>
        <v>45251</v>
      </c>
      <c r="AJ55" s="62">
        <f t="shared" si="166"/>
        <v>45282</v>
      </c>
      <c r="AK55" s="62">
        <f t="shared" si="166"/>
        <v>45313</v>
      </c>
      <c r="AL55" s="62">
        <f t="shared" si="166"/>
        <v>45344</v>
      </c>
      <c r="AM55" s="62">
        <f t="shared" si="166"/>
        <v>45375</v>
      </c>
      <c r="AN55" s="62">
        <f t="shared" si="166"/>
        <v>45406</v>
      </c>
      <c r="AO55" s="62">
        <f t="shared" si="166"/>
        <v>45437</v>
      </c>
      <c r="AP55" s="62">
        <f t="shared" si="166"/>
        <v>45468</v>
      </c>
      <c r="AQ55" s="62">
        <f t="shared" si="166"/>
        <v>45499</v>
      </c>
      <c r="AR55" s="62">
        <f t="shared" si="166"/>
        <v>45530</v>
      </c>
      <c r="AS55" s="62">
        <f t="shared" si="166"/>
        <v>45561</v>
      </c>
      <c r="AT55" s="62">
        <f t="shared" si="166"/>
        <v>45592</v>
      </c>
      <c r="AU55" s="62">
        <f t="shared" si="166"/>
        <v>45623</v>
      </c>
      <c r="AV55" s="62">
        <f t="shared" si="166"/>
        <v>45654</v>
      </c>
      <c r="AW55" s="62">
        <f t="shared" si="166"/>
        <v>45685</v>
      </c>
      <c r="AX55" s="62">
        <f t="shared" si="166"/>
        <v>45716</v>
      </c>
      <c r="AY55" s="62">
        <f t="shared" si="166"/>
        <v>45747</v>
      </c>
      <c r="AZ55" s="62">
        <f t="shared" si="166"/>
        <v>45778</v>
      </c>
      <c r="BA55" s="62">
        <f t="shared" si="166"/>
        <v>45809</v>
      </c>
      <c r="BB55" s="62">
        <f t="shared" si="166"/>
        <v>45840</v>
      </c>
      <c r="BC55" s="62">
        <f t="shared" si="166"/>
        <v>45871</v>
      </c>
      <c r="BD55" s="62">
        <f t="shared" si="166"/>
        <v>45902</v>
      </c>
    </row>
    <row r="56" spans="1:56" s="151" customFormat="1" outlineLevel="1" x14ac:dyDescent="0.25">
      <c r="A56" s="18" t="s">
        <v>359</v>
      </c>
      <c r="B56" s="158">
        <f>IF($C$16=1,$F$13,IF($C$16=2,$F$13/2,IF($C$16=3,$F$13/3,IF($C$16=4,$F$13/4,IF($C$16=5,$F$13/5,IF($C$16=6,$F$13/6,IF($C$16=7,$F$13/7,IF($C$16=8,$F$13/8,"0"))))))))</f>
        <v>19331.666666666668</v>
      </c>
      <c r="C56" s="158">
        <f>IF($C$16=2,$F$13/2,IF($C$16=3,$F$13/3,IF($C$16=4,$F$13/4,IF($C$16=5,$F$13/5,IF($C$16=6,$F$13/6,IF($C$16=7,$F$13/7,IF($C$16=8,$F$13/8,"0")))))))</f>
        <v>19331.666666666668</v>
      </c>
      <c r="D56" s="158">
        <f>IF($C$16=3,$F$13/3,IF($C$16=4,$F$13/4,IF($C$16=5,$F$13/5,IF($C$16=6,$F$13/6,IF($C$16=7,$F$13/7,IF($C$16=8,$F$13/8,"0"))))))</f>
        <v>19331.666666666668</v>
      </c>
      <c r="E56" s="158">
        <f>IF($C$16=4,$F$13/4,IF($C$16=5,$F$13/5,IF($C$16=6,$F$13/6,IF($C$16=7,$F$13/7,IF($C$16=8,$F$13/8,"0")))))</f>
        <v>19331.666666666668</v>
      </c>
      <c r="F56" s="158">
        <f>IF($C$16=5,$F$13/5,IF($C$16=6,$F$13/6,IF($C$16=7,$F$13/7,IF($C$16=8,$F$13/8,"0"))))</f>
        <v>19331.666666666668</v>
      </c>
      <c r="G56" s="158">
        <f>IF($C$16=6,$F$13/6,IF($C$16=7,$F$13/7,IF($C$16=8,$F$13/8,"0")))</f>
        <v>19331.666666666668</v>
      </c>
      <c r="H56" s="158" t="str">
        <f>IF($C$16=7,$F$13/7,IF($C$16=8,$F$13/8,"0"))</f>
        <v>0</v>
      </c>
      <c r="I56" s="158" t="str">
        <f>IF($C$16=8,$F$13/8,"0")</f>
        <v>0</v>
      </c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</row>
    <row r="57" spans="1:56" s="151" customFormat="1" outlineLevel="1" x14ac:dyDescent="0.25">
      <c r="A57" s="18" t="s">
        <v>360</v>
      </c>
      <c r="B57" s="230"/>
      <c r="C57" s="231" t="b">
        <f>IF(C56="",IF($C$19=1,$M$13,IF($C$19=2,$M$13/2,IF($C$19=3,$M$13/3,IF($C$19=4,$M$13/4,IF($C$19=5,$M$13/5))))))</f>
        <v>0</v>
      </c>
      <c r="D57" s="231" t="b">
        <f>IF(C57=M10,0,IF(D56="0",IF($C$19=1,$M$13,IF($C$19=2,$M$13/2,IF($C$19=3,$M$13/3,IF($C$19=4,$M$13/4,IF($C$19=5,$M$13/5)))))))</f>
        <v>0</v>
      </c>
      <c r="E57" s="231" t="b">
        <f>IF(SUM($C$57:D57)=$M$13,0,IF(E56="0",IF($C$19=1,$M$13,IF($C$19=2,$M$13/2,IF($C$19=3,$M$13/3,IF($C$19=4,$M$13/4,IF($C$19=5,$M$13/5)))))))</f>
        <v>0</v>
      </c>
      <c r="F57" s="231" t="b">
        <f>IF(SUM($C$57:E57)=$M$13,0,IF(F56="0",IF($C$19=1,$M$13,IF($C$19=2,$M$13/2,IF($C$19=3,$M$13/3,IF($C$19=4,$M$13/4,IF($C$19=5,$M$13/5)))))))</f>
        <v>0</v>
      </c>
      <c r="G57" s="231" t="b">
        <f>IF(SUM($C$57:F57)=$M$13,0,IF(G56="0",IF($C$19=1,$M$13,IF($C$19=2,$M$13/2,IF($C$19=3,$M$13/3,IF($C$19=4,$M$13/4,IF($C$19=5,$M$13/5)))))))</f>
        <v>0</v>
      </c>
      <c r="H57" s="231">
        <f>IF(SUM($C$57:G57)=$M$13,0,IF(H56="0",IF($C$19=1,$M$13,IF($C$19=2,$M$13/2,IF($C$19=3,$M$13/3,IF($C$19=4,$M$13/4,IF($C$19=5,$M$13/5)))))))</f>
        <v>9471</v>
      </c>
      <c r="I57" s="231">
        <f>IF(SUM($C$57:H57)=$M$13,0,IF(I56="0",IF($C$19=1,$M$13,IF($C$19=2,$M$13/2,IF($C$19=3,$M$13/3,IF($C$19=4,$M$13/4,IF($C$19=5,$M$13/5)))))))</f>
        <v>9471</v>
      </c>
      <c r="J57" s="231">
        <f>IF(SUM($C$57:I57)=$M$13,0,IF(J56="0",IF($C$19=1,$M$13,IF($C$19=2,$M$13/2,IF($C$19=3,$M$13/3,IF($C$19=4,$M$13/4,IF($C$19=5,$M$13/5)))))))</f>
        <v>0</v>
      </c>
      <c r="K57" s="231">
        <f>IF(SUM($C$57:J57)=$M$13,0,IF(K56="0",IF($C$19=1,$M$13,IF($C$19=2,$M$13/2,IF($C$19=3,$M$13/3,IF($C$19=4,$M$13/4,IF($C$19=5,$M$13/5)))))))</f>
        <v>0</v>
      </c>
      <c r="L57" s="231">
        <f>IF(SUM($C$57:K57)=$M$13,0,IF(L56="0",IF($C$19=1,$M$13,IF($C$19=2,$M$13/2,IF($C$19=3,$M$13/3,IF($C$19=4,$M$13/4,IF($C$19=5,$M$13/5)))))))</f>
        <v>0</v>
      </c>
      <c r="M57" s="231">
        <f>IF(SUM($C$57:L57)=$M$13,0,IF(M56="0",IF($C$19=1,$M$13,IF($C$19=2,$M$13/2,IF($C$19=3,$M$13/3,IF($C$19=4,$M$13/4,IF($C$19=5,$M$13/5)))))))</f>
        <v>0</v>
      </c>
      <c r="N57" s="231">
        <f>IF(SUM($C$57:M57)=$M$13,0,IF(N56="0",IF($C$19=1,$M$13,IF($C$19=2,$M$13/2,IF($C$19=3,$M$13/3,IF($C$19=4,$M$13/4,IF($C$19=5,$M$13/5)))))))</f>
        <v>0</v>
      </c>
      <c r="O57" s="231">
        <f>IF(SUM($C$57:N57)=$M$13,0,IF(O56="0",IF($C$19=1,$M$13,IF($C$19=2,$M$13/2,IF($C$19=3,$M$13/3,IF($C$19=4,$M$13/4,IF($C$19=5,$M$13/5)))))))</f>
        <v>0</v>
      </c>
      <c r="P57" s="231">
        <f>IF(SUM($C$57:O57)=$M$13,0,IF(P56="0",IF($C$19=1,$M$13,IF($C$19=2,$M$13/2,IF($C$19=3,$M$13/3,IF($C$19=4,$M$13/4,IF($C$19=5,$M$13/5)))))))</f>
        <v>0</v>
      </c>
      <c r="Q57" s="231">
        <f>IF(SUM($C$57:P57)=$M$13,0,IF(Q56="0",IF($C$19=1,$M$13,IF($C$19=2,$M$13/2,IF($C$19=3,$M$13/3,IF($C$19=4,$M$13/4,IF($C$19=5,$M$13/5)))))))</f>
        <v>0</v>
      </c>
      <c r="R57" s="231">
        <f>IF(SUM($C$57:Q57)=$M$13,0,IF(R56="0",IF($C$19=1,$M$13,IF($C$19=2,$M$13/2,IF($C$19=3,$M$13/3,IF($C$19=4,$M$13/4,IF($C$19=5,$M$13/5)))))))</f>
        <v>0</v>
      </c>
      <c r="S57" s="231">
        <f>IF(SUM($C$57:R57)=$M$13,0,IF(S56="0",IF($C$19=1,$M$13,IF($C$19=2,$M$13/2,IF($C$19=3,$M$13/3,IF($C$19=4,$M$13/4,IF($C$19=5,$M$13/5)))))))</f>
        <v>0</v>
      </c>
      <c r="T57" s="231">
        <f>IF(SUM($C$57:S57)=$M$13,0,IF(T56="0",IF($C$19=1,$M$13,IF($C$19=2,$M$13/2,IF($C$19=3,$M$13/3,IF($C$19=4,$M$13/4,IF($C$19=5,$M$13/5)))))))</f>
        <v>0</v>
      </c>
      <c r="U57" s="231">
        <f>IF(SUM($C$57:T57)=$M$13,0,IF(U56="0",IF($C$19=1,$M$13,IF($C$19=2,$M$13/2,IF($C$19=3,$M$13/3,IF($C$19=4,$M$13/4,IF($C$19=5,$M$13/5)))))))</f>
        <v>0</v>
      </c>
      <c r="V57" s="231">
        <f>IF(SUM($C$57:U57)=$M$13,0,IF(V56="0",IF($C$19=1,$M$13,IF($C$19=2,$M$13/2,IF($C$19=3,$M$13/3,IF($C$19=4,$M$13/4,IF($C$19=5,$M$13/5)))))))</f>
        <v>0</v>
      </c>
      <c r="W57" s="231">
        <f>IF(SUM($C$57:V57)=$M$13,0,IF(W56="0",IF($C$19=1,$M$13,IF($C$19=2,$M$13/2,IF($C$19=3,$M$13/3,IF($C$19=4,$M$13/4,IF($C$19=5,$M$13/5)))))))</f>
        <v>0</v>
      </c>
      <c r="X57" s="231">
        <f>IF(SUM($C$57:W57)=$M$13,0,IF(X56="0",IF($C$19=1,$M$13,IF($C$19=2,$M$13/2,IF($C$19=3,$M$13/3,IF($C$19=4,$M$13/4,IF($C$19=5,$M$13/5)))))))</f>
        <v>0</v>
      </c>
      <c r="Y57" s="231">
        <f>IF(SUM($C$57:X57)=$M$13,0,IF(Y56="0",IF($C$19=1,$M$13,IF($C$19=2,$M$13/2,IF($C$19=3,$M$13/3,IF($C$19=4,$M$13/4,IF($C$19=5,$M$13/5)))))))</f>
        <v>0</v>
      </c>
      <c r="Z57" s="231">
        <f>IF(SUM($C$57:Y57)=$M$13,0,IF(Z56="0",IF($C$19=1,$M$13,IF($C$19=2,$M$13/2,IF($C$19=3,$M$13/3,IF($C$19=4,$M$13/4,IF($C$19=5,$M$13/5)))))))</f>
        <v>0</v>
      </c>
      <c r="AA57" s="231">
        <f>IF(SUM($C$57:Z57)=$M$13,0,IF(AA56="0",IF($C$19=1,$M$13,IF($C$19=2,$M$13/2,IF($C$19=3,$M$13/3,IF($C$19=4,$M$13/4,IF($C$19=5,$M$13/5)))))))</f>
        <v>0</v>
      </c>
      <c r="AB57" s="231">
        <f>IF(SUM($C$57:AA57)=$M$13,0,IF(AB56="0",IF($C$19=1,$M$13,IF($C$19=2,$M$13/2,IF($C$19=3,$M$13/3,IF($C$19=4,$M$13/4,IF($C$19=5,$M$13/5)))))))</f>
        <v>0</v>
      </c>
      <c r="AC57" s="231">
        <f>IF(SUM($C$57:AB57)=$M$13,0,IF(AC56="0",IF($C$19=1,$M$13,IF($C$19=2,$M$13/2,IF($C$19=3,$M$13/3,IF($C$19=4,$M$13/4,IF($C$19=5,$M$13/5)))))))</f>
        <v>0</v>
      </c>
      <c r="AD57" s="231">
        <f>IF(SUM($C$57:AC57)=$M$13,0,IF(AD56="0",IF($C$19=1,$M$13,IF($C$19=2,$M$13/2,IF($C$19=3,$M$13/3,IF($C$19=4,$M$13/4,IF($C$19=5,$M$13/5)))))))</f>
        <v>0</v>
      </c>
      <c r="AE57" s="231">
        <f>IF(SUM($C$57:AD57)=$M$13,0,IF(AE56="0",IF($C$19=1,$M$13,IF($C$19=2,$M$13/2,IF($C$19=3,$M$13/3,IF($C$19=4,$M$13/4,IF($C$19=5,$M$13/5)))))))</f>
        <v>0</v>
      </c>
      <c r="AF57" s="231">
        <f>IF(SUM($C$57:AE57)=$M$13,0,IF(AF56="0",IF($C$19=1,$M$13,IF($C$19=2,$M$13/2,IF($C$19=3,$M$13/3,IF($C$19=4,$M$13/4,IF($C$19=5,$M$13/5)))))))</f>
        <v>0</v>
      </c>
      <c r="AG57" s="231">
        <f>IF(SUM($C$57:AF57)=$M$13,0,IF(AG56="0",IF($C$19=1,$M$13,IF($C$19=2,$M$13/2,IF($C$19=3,$M$13/3,IF($C$19=4,$M$13/4,IF($C$19=5,$M$13/5)))))))</f>
        <v>0</v>
      </c>
      <c r="AH57" s="231">
        <f>IF(SUM($C$57:AG57)=$M$13,0,IF(AH56="0",IF($C$19=1,$M$13,IF($C$19=2,$M$13/2,IF($C$19=3,$M$13/3,IF($C$19=4,$M$13/4,IF($C$19=5,$M$13/5)))))))</f>
        <v>0</v>
      </c>
      <c r="AI57" s="231">
        <f>IF(SUM($C$57:AH57)=$M$13,0,IF(AI56="0",IF($C$19=1,$M$13,IF($C$19=2,$M$13/2,IF($C$19=3,$M$13/3,IF($C$19=4,$M$13/4,IF($C$19=5,$M$13/5)))))))</f>
        <v>0</v>
      </c>
      <c r="AJ57" s="231">
        <f>IF(SUM($C$57:AI57)=$M$13,0,IF(AJ56="0",IF($C$19=1,$M$13,IF($C$19=2,$M$13/2,IF($C$19=3,$M$13/3,IF($C$19=4,$M$13/4,IF($C$19=5,$M$13/5)))))))</f>
        <v>0</v>
      </c>
      <c r="AK57" s="231">
        <f>IF(SUM($C$57:AJ57)=$M$13,0,IF(AK56="0",IF($C$19=1,$M$13,IF($C$19=2,$M$13/2,IF($C$19=3,$M$13/3,IF($C$19=4,$M$13/4,IF($C$19=5,$M$13/5)))))))</f>
        <v>0</v>
      </c>
      <c r="AL57" s="231">
        <f>IF(SUM($C$57:AK57)=$M$13,0,IF(AL56="0",IF($C$19=1,$M$13,IF($C$19=2,$M$13/2,IF($C$19=3,$M$13/3,IF($C$19=4,$M$13/4,IF($C$19=5,$M$13/5)))))))</f>
        <v>0</v>
      </c>
      <c r="AM57" s="231">
        <f>IF(SUM($C$57:AL57)=$M$13,0,IF(AM56="0",IF($C$19=1,$M$13,IF($C$19=2,$M$13/2,IF($C$19=3,$M$13/3,IF($C$19=4,$M$13/4,IF($C$19=5,$M$13/5)))))))</f>
        <v>0</v>
      </c>
      <c r="AN57" s="231">
        <f>IF(SUM($C$57:AM57)=$M$13,0,IF(AN56="0",IF($C$19=1,$M$13,IF($C$19=2,$M$13/2,IF($C$19=3,$M$13/3,IF($C$19=4,$M$13/4,IF($C$19=5,$M$13/5)))))))</f>
        <v>0</v>
      </c>
      <c r="AO57" s="231">
        <f>IF(SUM($C$57:AN57)=$M$13,0,IF(AO56="0",IF($C$19=1,$M$13,IF($C$19=2,$M$13/2,IF($C$19=3,$M$13/3,IF($C$19=4,$M$13/4,IF($C$19=5,$M$13/5)))))))</f>
        <v>0</v>
      </c>
      <c r="AP57" s="231">
        <f>IF(SUM($C$57:AO57)=$M$13,0,IF(AP56="0",IF($C$19=1,$M$13,IF($C$19=2,$M$13/2,IF($C$19=3,$M$13/3,IF($C$19=4,$M$13/4,IF($C$19=5,$M$13/5)))))))</f>
        <v>0</v>
      </c>
      <c r="AQ57" s="231">
        <f>IF(SUM($C$57:AP57)=$M$13,0,IF(AQ56="0",IF($C$19=1,$M$13,IF($C$19=2,$M$13/2,IF($C$19=3,$M$13/3,IF($C$19=4,$M$13/4,IF($C$19=5,$M$13/5)))))))</f>
        <v>0</v>
      </c>
      <c r="AR57" s="231">
        <f>IF(SUM($C$57:AQ57)=$M$13,0,IF(AR56="0",IF($C$19=1,$M$13,IF($C$19=2,$M$13/2,IF($C$19=3,$M$13/3,IF($C$19=4,$M$13/4,IF($C$19=5,$M$13/5)))))))</f>
        <v>0</v>
      </c>
      <c r="AS57" s="231">
        <f>IF(SUM($C$57:AR57)=$M$13,0,IF(AS56="0",IF($C$19=1,$M$13,IF($C$19=2,$M$13/2,IF($C$19=3,$M$13/3,IF($C$19=4,$M$13/4,IF($C$19=5,$M$13/5)))))))</f>
        <v>0</v>
      </c>
      <c r="AT57" s="231">
        <f>IF(SUM($C$57:AS57)=$M$13,0,IF(AT56="0",IF($C$19=1,$M$13,IF($C$19=2,$M$13/2,IF($C$19=3,$M$13/3,IF($C$19=4,$M$13/4,IF($C$19=5,$M$13/5)))))))</f>
        <v>0</v>
      </c>
      <c r="AU57" s="231">
        <f>IF(SUM($C$57:AT57)=$M$13,0,IF(AU56="0",IF($C$19=1,$M$13,IF($C$19=2,$M$13/2,IF($C$19=3,$M$13/3,IF($C$19=4,$M$13/4,IF($C$19=5,$M$13/5)))))))</f>
        <v>0</v>
      </c>
      <c r="AV57" s="231">
        <f>IF(SUM($C$57:AU57)=$M$13,0,IF(AV56="0",IF($C$19=1,$M$13,IF($C$19=2,$M$13/2,IF($C$19=3,$M$13/3,IF($C$19=4,$M$13/4,IF($C$19=5,$M$13/5)))))))</f>
        <v>0</v>
      </c>
      <c r="AW57" s="231">
        <f>IF(SUM($C$57:AV57)=$M$13,0,IF(AW56="0",IF($C$19=1,$M$13,IF($C$19=2,$M$13/2,IF($C$19=3,$M$13/3,IF($C$19=4,$M$13/4,IF($C$19=5,$M$13/5)))))))</f>
        <v>0</v>
      </c>
      <c r="AX57" s="231">
        <f>IF(SUM($C$57:AW57)=$M$13,0,IF(AX56="0",IF($C$19=1,$M$13,IF($C$19=2,$M$13/2,IF($C$19=3,$M$13/3,IF($C$19=4,$M$13/4,IF($C$19=5,$M$13/5)))))))</f>
        <v>0</v>
      </c>
      <c r="AY57" s="231">
        <f>IF(SUM($C$57:AX57)=$M$13,0,IF(AY56="0",IF($C$19=1,$M$13,IF($C$19=2,$M$13/2,IF($C$19=3,$M$13/3,IF($C$19=4,$M$13/4,IF($C$19=5,$M$13/5)))))))</f>
        <v>0</v>
      </c>
      <c r="AZ57" s="231">
        <f>IF(SUM($C$57:AY57)=$M$13,0,IF(AZ56="0",IF($C$19=1,$M$13,IF($C$19=2,$M$13/2,IF($C$19=3,$M$13/3,IF($C$19=4,$M$13/4,IF($C$19=5,$M$13/5)))))))</f>
        <v>0</v>
      </c>
      <c r="BA57" s="231">
        <f>IF(SUM($C$57:AZ57)=$M$13,0,IF(BA56="0",IF($C$19=1,$M$13,IF($C$19=2,$M$13/2,IF($C$19=3,$M$13/3,IF($C$19=4,$M$13/4,IF($C$19=5,$M$13/5)))))))</f>
        <v>0</v>
      </c>
      <c r="BB57" s="231">
        <f>IF(SUM($C$57:BA57)=$M$13,0,IF(BB56="0",IF($C$19=1,$M$13,IF($C$19=2,$M$13/2,IF($C$19=3,$M$13/3,IF($C$19=4,$M$13/4,IF($C$19=5,$M$13/5)))))))</f>
        <v>0</v>
      </c>
      <c r="BC57" s="231">
        <f>IF(SUM($C$57:BB57)=$M$13,0,IF(BC56="0",IF($C$19=1,$M$13,IF($C$19=2,$M$13/2,IF($C$19=3,$M$13/3,IF($C$19=4,$M$13/4,IF($C$19=5,$M$13/5)))))))</f>
        <v>0</v>
      </c>
      <c r="BD57" s="231">
        <f>IF(SUM($C$57:BC57)=$M$13,0,IF(BD56="0",IF($C$19=1,$M$13,IF($C$19=2,$M$13/2,IF($C$19=3,$M$13/3,IF($C$19=4,$M$13/4,IF($C$19=5,$M$13/5)))))))</f>
        <v>0</v>
      </c>
    </row>
    <row r="58" spans="1:56" s="151" customFormat="1" outlineLevel="1" x14ac:dyDescent="0.25">
      <c r="A58" s="18" t="s">
        <v>467</v>
      </c>
      <c r="B58" s="299" t="str">
        <f>IF(SUM(B56:B57)&gt;0,"0",$I$20)</f>
        <v>0</v>
      </c>
      <c r="C58" s="299" t="str">
        <f t="shared" ref="C58:BD58" si="167">IF(SUM(C56:C57)&gt;0,"0",$I$20)</f>
        <v>0</v>
      </c>
      <c r="D58" s="299" t="str">
        <f t="shared" si="167"/>
        <v>0</v>
      </c>
      <c r="E58" s="299" t="str">
        <f t="shared" si="167"/>
        <v>0</v>
      </c>
      <c r="F58" s="299" t="str">
        <f t="shared" si="167"/>
        <v>0</v>
      </c>
      <c r="G58" s="299" t="str">
        <f t="shared" si="167"/>
        <v>0</v>
      </c>
      <c r="H58" s="299" t="str">
        <f t="shared" si="167"/>
        <v>0</v>
      </c>
      <c r="I58" s="299" t="str">
        <f t="shared" si="167"/>
        <v>0</v>
      </c>
      <c r="J58" s="299">
        <f t="shared" si="167"/>
        <v>15000</v>
      </c>
      <c r="K58" s="299">
        <f t="shared" si="167"/>
        <v>15000</v>
      </c>
      <c r="L58" s="299">
        <f t="shared" si="167"/>
        <v>15000</v>
      </c>
      <c r="M58" s="299">
        <f t="shared" si="167"/>
        <v>15000</v>
      </c>
      <c r="N58" s="299">
        <f t="shared" si="167"/>
        <v>15000</v>
      </c>
      <c r="O58" s="299">
        <f t="shared" si="167"/>
        <v>15000</v>
      </c>
      <c r="P58" s="299">
        <f t="shared" si="167"/>
        <v>15000</v>
      </c>
      <c r="Q58" s="299">
        <f t="shared" si="167"/>
        <v>15000</v>
      </c>
      <c r="R58" s="299">
        <f t="shared" si="167"/>
        <v>15000</v>
      </c>
      <c r="S58" s="299">
        <f t="shared" si="167"/>
        <v>15000</v>
      </c>
      <c r="T58" s="299">
        <f t="shared" si="167"/>
        <v>15000</v>
      </c>
      <c r="U58" s="299">
        <f t="shared" si="167"/>
        <v>15000</v>
      </c>
      <c r="V58" s="299">
        <f t="shared" si="167"/>
        <v>15000</v>
      </c>
      <c r="W58" s="299">
        <f t="shared" si="167"/>
        <v>15000</v>
      </c>
      <c r="X58" s="299">
        <f t="shared" si="167"/>
        <v>15000</v>
      </c>
      <c r="Y58" s="299">
        <f t="shared" si="167"/>
        <v>15000</v>
      </c>
      <c r="Z58" s="299">
        <f t="shared" si="167"/>
        <v>15000</v>
      </c>
      <c r="AA58" s="299">
        <f t="shared" si="167"/>
        <v>15000</v>
      </c>
      <c r="AB58" s="299">
        <f t="shared" si="167"/>
        <v>15000</v>
      </c>
      <c r="AC58" s="299">
        <f t="shared" si="167"/>
        <v>15000</v>
      </c>
      <c r="AD58" s="299">
        <f t="shared" si="167"/>
        <v>15000</v>
      </c>
      <c r="AE58" s="299">
        <f t="shared" si="167"/>
        <v>15000</v>
      </c>
      <c r="AF58" s="299">
        <f t="shared" si="167"/>
        <v>15000</v>
      </c>
      <c r="AG58" s="299">
        <f t="shared" si="167"/>
        <v>15000</v>
      </c>
      <c r="AH58" s="299">
        <f t="shared" si="167"/>
        <v>15000</v>
      </c>
      <c r="AI58" s="299">
        <f t="shared" si="167"/>
        <v>15000</v>
      </c>
      <c r="AJ58" s="299">
        <f t="shared" si="167"/>
        <v>15000</v>
      </c>
      <c r="AK58" s="299">
        <f t="shared" si="167"/>
        <v>15000</v>
      </c>
      <c r="AL58" s="299">
        <f t="shared" si="167"/>
        <v>15000</v>
      </c>
      <c r="AM58" s="299">
        <f t="shared" si="167"/>
        <v>15000</v>
      </c>
      <c r="AN58" s="299">
        <f t="shared" si="167"/>
        <v>15000</v>
      </c>
      <c r="AO58" s="299">
        <f t="shared" si="167"/>
        <v>15000</v>
      </c>
      <c r="AP58" s="299">
        <f t="shared" si="167"/>
        <v>15000</v>
      </c>
      <c r="AQ58" s="299">
        <f t="shared" si="167"/>
        <v>15000</v>
      </c>
      <c r="AR58" s="299">
        <f t="shared" si="167"/>
        <v>15000</v>
      </c>
      <c r="AS58" s="299">
        <f t="shared" si="167"/>
        <v>15000</v>
      </c>
      <c r="AT58" s="299">
        <f t="shared" si="167"/>
        <v>15000</v>
      </c>
      <c r="AU58" s="299">
        <f t="shared" si="167"/>
        <v>15000</v>
      </c>
      <c r="AV58" s="299">
        <f t="shared" si="167"/>
        <v>15000</v>
      </c>
      <c r="AW58" s="299">
        <f t="shared" si="167"/>
        <v>15000</v>
      </c>
      <c r="AX58" s="299">
        <f t="shared" si="167"/>
        <v>15000</v>
      </c>
      <c r="AY58" s="299">
        <f t="shared" si="167"/>
        <v>15000</v>
      </c>
      <c r="AZ58" s="299">
        <f t="shared" si="167"/>
        <v>15000</v>
      </c>
      <c r="BA58" s="299">
        <f t="shared" si="167"/>
        <v>15000</v>
      </c>
      <c r="BB58" s="299">
        <f t="shared" si="167"/>
        <v>15000</v>
      </c>
      <c r="BC58" s="299">
        <f t="shared" si="167"/>
        <v>15000</v>
      </c>
      <c r="BD58" s="299">
        <f t="shared" si="167"/>
        <v>15000</v>
      </c>
    </row>
    <row r="59" spans="1:56" s="151" customFormat="1" outlineLevel="1" x14ac:dyDescent="0.25">
      <c r="A59" s="18" t="s">
        <v>364</v>
      </c>
      <c r="B59" s="158">
        <f>I16</f>
        <v>1000</v>
      </c>
      <c r="C59" s="194">
        <f>B59*(1+$I$17)</f>
        <v>1014.9999999999999</v>
      </c>
      <c r="D59" s="194">
        <f t="shared" ref="D59:M59" si="168">C59*(1+$I$17)</f>
        <v>1030.2249999999997</v>
      </c>
      <c r="E59" s="194">
        <f t="shared" si="168"/>
        <v>1045.6783749999995</v>
      </c>
      <c r="F59" s="194">
        <f t="shared" si="168"/>
        <v>1061.3635506249993</v>
      </c>
      <c r="G59" s="194">
        <f t="shared" si="168"/>
        <v>1077.2840038843742</v>
      </c>
      <c r="H59" s="194">
        <f t="shared" si="168"/>
        <v>1093.4432639426398</v>
      </c>
      <c r="I59" s="194">
        <f t="shared" si="168"/>
        <v>1109.8449129017793</v>
      </c>
      <c r="J59" s="194">
        <f t="shared" si="168"/>
        <v>1126.4925865953057</v>
      </c>
      <c r="K59" s="194">
        <f t="shared" si="168"/>
        <v>1143.3899753942353</v>
      </c>
      <c r="L59" s="194">
        <f t="shared" si="168"/>
        <v>1160.5408250251487</v>
      </c>
      <c r="M59" s="194">
        <f t="shared" si="168"/>
        <v>1177.9489374005259</v>
      </c>
      <c r="N59" s="194">
        <f t="shared" ref="N59:BD59" si="169">M59*(1+$I$17)</f>
        <v>1195.6181714615336</v>
      </c>
      <c r="O59" s="194">
        <f t="shared" si="169"/>
        <v>1213.5524440334566</v>
      </c>
      <c r="P59" s="194">
        <f t="shared" si="169"/>
        <v>1231.7557306939584</v>
      </c>
      <c r="Q59" s="194">
        <f t="shared" si="169"/>
        <v>1250.2320666543676</v>
      </c>
      <c r="R59" s="194">
        <f t="shared" si="169"/>
        <v>1268.9855476541829</v>
      </c>
      <c r="S59" s="194">
        <f t="shared" si="169"/>
        <v>1288.0203308689956</v>
      </c>
      <c r="T59" s="194">
        <f t="shared" si="169"/>
        <v>1307.3406358320306</v>
      </c>
      <c r="U59" s="194">
        <f t="shared" si="169"/>
        <v>1326.950745369511</v>
      </c>
      <c r="V59" s="194">
        <f t="shared" si="169"/>
        <v>1346.8550065500535</v>
      </c>
      <c r="W59" s="194">
        <f t="shared" si="169"/>
        <v>1367.0578316483043</v>
      </c>
      <c r="X59" s="194">
        <f t="shared" si="169"/>
        <v>1387.5636991230288</v>
      </c>
      <c r="Y59" s="194">
        <f t="shared" si="169"/>
        <v>1408.377154609874</v>
      </c>
      <c r="Z59" s="194">
        <f t="shared" si="169"/>
        <v>1429.5028119290218</v>
      </c>
      <c r="AA59" s="194">
        <f t="shared" si="169"/>
        <v>1450.945354107957</v>
      </c>
      <c r="AB59" s="194">
        <f t="shared" si="169"/>
        <v>1472.7095344195761</v>
      </c>
      <c r="AC59" s="194">
        <f t="shared" si="169"/>
        <v>1494.8001774358697</v>
      </c>
      <c r="AD59" s="194">
        <f t="shared" si="169"/>
        <v>1517.2221800974075</v>
      </c>
      <c r="AE59" s="194">
        <f t="shared" si="169"/>
        <v>1539.9805127988684</v>
      </c>
      <c r="AF59" s="194">
        <f t="shared" si="169"/>
        <v>1563.0802204908514</v>
      </c>
      <c r="AG59" s="194">
        <f t="shared" si="169"/>
        <v>1586.526423798214</v>
      </c>
      <c r="AH59" s="194">
        <f t="shared" si="169"/>
        <v>1610.324320155187</v>
      </c>
      <c r="AI59" s="194">
        <f t="shared" si="169"/>
        <v>1634.4791849575147</v>
      </c>
      <c r="AJ59" s="194">
        <f t="shared" si="169"/>
        <v>1658.9963727318773</v>
      </c>
      <c r="AK59" s="194">
        <f t="shared" si="169"/>
        <v>1683.8813183228553</v>
      </c>
      <c r="AL59" s="194">
        <f t="shared" si="169"/>
        <v>1709.1395380976981</v>
      </c>
      <c r="AM59" s="194">
        <f t="shared" si="169"/>
        <v>1734.7766311691635</v>
      </c>
      <c r="AN59" s="194">
        <f t="shared" si="169"/>
        <v>1760.7982806367008</v>
      </c>
      <c r="AO59" s="194">
        <f t="shared" si="169"/>
        <v>1787.2102548462512</v>
      </c>
      <c r="AP59" s="194">
        <f t="shared" si="169"/>
        <v>1814.0184086689449</v>
      </c>
      <c r="AQ59" s="194">
        <f t="shared" si="169"/>
        <v>1841.2286847989787</v>
      </c>
      <c r="AR59" s="194">
        <f t="shared" si="169"/>
        <v>1868.8471150709634</v>
      </c>
      <c r="AS59" s="194">
        <f t="shared" si="169"/>
        <v>1896.8798217970277</v>
      </c>
      <c r="AT59" s="194">
        <f t="shared" si="169"/>
        <v>1925.3330191239829</v>
      </c>
      <c r="AU59" s="194">
        <f t="shared" si="169"/>
        <v>1954.2130144108426</v>
      </c>
      <c r="AV59" s="194">
        <f t="shared" si="169"/>
        <v>1983.5262096270051</v>
      </c>
      <c r="AW59" s="194">
        <f t="shared" si="169"/>
        <v>2013.27910277141</v>
      </c>
      <c r="AX59" s="194">
        <f t="shared" si="169"/>
        <v>2043.4782893129809</v>
      </c>
      <c r="AY59" s="194">
        <f t="shared" si="169"/>
        <v>2074.1304636526756</v>
      </c>
      <c r="AZ59" s="194">
        <f t="shared" si="169"/>
        <v>2105.2424206074656</v>
      </c>
      <c r="BA59" s="194">
        <f t="shared" si="169"/>
        <v>2136.8210569165776</v>
      </c>
      <c r="BB59" s="194">
        <f t="shared" si="169"/>
        <v>2168.8733727703261</v>
      </c>
      <c r="BC59" s="194">
        <f t="shared" si="169"/>
        <v>2201.4064733618807</v>
      </c>
      <c r="BD59" s="194">
        <f t="shared" si="169"/>
        <v>2234.4275704623087</v>
      </c>
    </row>
    <row r="60" spans="1:56" s="151" customFormat="1" outlineLevel="1" x14ac:dyDescent="0.25">
      <c r="A60" s="18" t="s">
        <v>536</v>
      </c>
      <c r="B60" s="158">
        <f>B53</f>
        <v>0</v>
      </c>
      <c r="C60" s="158">
        <f t="shared" ref="C60:BD60" si="170">C53</f>
        <v>0</v>
      </c>
      <c r="D60" s="158">
        <f t="shared" si="170"/>
        <v>0</v>
      </c>
      <c r="E60" s="158">
        <f t="shared" si="170"/>
        <v>0</v>
      </c>
      <c r="F60" s="158">
        <f t="shared" si="170"/>
        <v>0</v>
      </c>
      <c r="G60" s="158">
        <f t="shared" si="170"/>
        <v>0</v>
      </c>
      <c r="H60" s="158">
        <f t="shared" si="170"/>
        <v>0</v>
      </c>
      <c r="I60" s="158">
        <f t="shared" si="170"/>
        <v>0</v>
      </c>
      <c r="J60" s="158">
        <f t="shared" si="170"/>
        <v>19817.25675978353</v>
      </c>
      <c r="K60" s="158">
        <f t="shared" si="170"/>
        <v>22831.912765349432</v>
      </c>
      <c r="L60" s="158">
        <f t="shared" si="170"/>
        <v>26858.847047862506</v>
      </c>
      <c r="M60" s="158">
        <f t="shared" si="170"/>
        <v>33611.903119322364</v>
      </c>
      <c r="N60" s="158">
        <f t="shared" si="170"/>
        <v>41304.253507172136</v>
      </c>
      <c r="O60" s="158">
        <f t="shared" si="170"/>
        <v>50046.545892292779</v>
      </c>
      <c r="P60" s="158">
        <f t="shared" si="170"/>
        <v>59961.678518833767</v>
      </c>
      <c r="Q60" s="158">
        <f t="shared" si="170"/>
        <v>71186.16263807207</v>
      </c>
      <c r="R60" s="158">
        <f t="shared" si="170"/>
        <v>83871.649309355998</v>
      </c>
      <c r="S60" s="158">
        <f t="shared" si="170"/>
        <v>98186.643972202728</v>
      </c>
      <c r="T60" s="158">
        <f t="shared" si="170"/>
        <v>114318.43629782002</v>
      </c>
      <c r="U60" s="158">
        <f t="shared" si="170"/>
        <v>132475.27776549943</v>
      </c>
      <c r="V60" s="158">
        <f t="shared" si="170"/>
        <v>152888.84537980499</v>
      </c>
      <c r="W60" s="158">
        <f t="shared" si="170"/>
        <v>175817.03718339978</v>
      </c>
      <c r="X60" s="158">
        <f t="shared" si="170"/>
        <v>201547.15401839503</v>
      </c>
      <c r="Y60" s="158">
        <f t="shared" si="170"/>
        <v>235968.08437168892</v>
      </c>
      <c r="Z60" s="158">
        <f t="shared" si="170"/>
        <v>274789.70106749929</v>
      </c>
      <c r="AA60" s="158">
        <f t="shared" si="170"/>
        <v>318525.62247012928</v>
      </c>
      <c r="AB60" s="158">
        <f t="shared" si="170"/>
        <v>367749.53038348851</v>
      </c>
      <c r="AC60" s="158">
        <f t="shared" si="170"/>
        <v>423102.86381126643</v>
      </c>
      <c r="AD60" s="158">
        <f t="shared" si="170"/>
        <v>485303.68359322334</v>
      </c>
      <c r="AE60" s="158">
        <f t="shared" si="170"/>
        <v>555156.92389798455</v>
      </c>
      <c r="AF60" s="158">
        <f t="shared" si="170"/>
        <v>633566.29241534171</v>
      </c>
      <c r="AG60" s="158">
        <f t="shared" si="170"/>
        <v>721548.13745508948</v>
      </c>
      <c r="AH60" s="158">
        <f t="shared" si="170"/>
        <v>820247.66951125138</v>
      </c>
      <c r="AI60" s="158">
        <f t="shared" si="170"/>
        <v>930958.01027338009</v>
      </c>
      <c r="AJ60" s="158">
        <f t="shared" si="170"/>
        <v>1055142.647384322</v>
      </c>
      <c r="AK60" s="158">
        <f t="shared" si="170"/>
        <v>1202875.5394390922</v>
      </c>
      <c r="AL60" s="158">
        <f t="shared" si="170"/>
        <v>1369023.4316207648</v>
      </c>
      <c r="AM60" s="158">
        <f t="shared" si="170"/>
        <v>1555913.7095604131</v>
      </c>
      <c r="AN60" s="158">
        <f t="shared" si="170"/>
        <v>1766206.9829878081</v>
      </c>
      <c r="AO60" s="158">
        <f t="shared" si="170"/>
        <v>2002944.4113824912</v>
      </c>
      <c r="AP60" s="158">
        <f t="shared" si="170"/>
        <v>2269622.5583617166</v>
      </c>
      <c r="AQ60" s="158">
        <f t="shared" si="170"/>
        <v>2570271.7197997645</v>
      </c>
      <c r="AR60" s="158">
        <f t="shared" si="170"/>
        <v>2909553.3216907112</v>
      </c>
      <c r="AS60" s="158">
        <f t="shared" si="170"/>
        <v>3292877.7770894328</v>
      </c>
      <c r="AT60" s="158">
        <f t="shared" si="170"/>
        <v>3726547.4564659456</v>
      </c>
      <c r="AU60" s="158">
        <f t="shared" si="170"/>
        <v>4217930.524405757</v>
      </c>
      <c r="AV60" s="158">
        <f t="shared" si="170"/>
        <v>4775672.7574915402</v>
      </c>
      <c r="AW60" s="158">
        <f t="shared" si="170"/>
        <v>5157726.5780908642</v>
      </c>
      <c r="AX60" s="158">
        <f t="shared" si="170"/>
        <v>5570344.7043381333</v>
      </c>
      <c r="AY60" s="158">
        <f t="shared" si="170"/>
        <v>6015972.2806851845</v>
      </c>
      <c r="AZ60" s="158">
        <f t="shared" si="170"/>
        <v>6497250.0631399984</v>
      </c>
      <c r="BA60" s="158">
        <f t="shared" si="170"/>
        <v>7017030.0681911996</v>
      </c>
      <c r="BB60" s="158">
        <f t="shared" si="170"/>
        <v>7578392.4736464964</v>
      </c>
      <c r="BC60" s="158">
        <f t="shared" si="170"/>
        <v>8184663.8715382162</v>
      </c>
      <c r="BD60" s="158">
        <f t="shared" si="170"/>
        <v>8839436.9812612738</v>
      </c>
    </row>
    <row r="61" spans="1:56" s="151" customFormat="1" ht="17" outlineLevel="1" thickBot="1" x14ac:dyDescent="0.3">
      <c r="A61" s="18" t="s">
        <v>365</v>
      </c>
      <c r="B61" s="158">
        <f>B51*$B$31</f>
        <v>0</v>
      </c>
      <c r="C61" s="158">
        <f>C51*$B$31</f>
        <v>0</v>
      </c>
      <c r="D61" s="158">
        <f>D51*$B$31</f>
        <v>0</v>
      </c>
      <c r="E61" s="158">
        <f>E51*$B$31</f>
        <v>0</v>
      </c>
      <c r="F61" s="158">
        <f>F51*$B$31</f>
        <v>0</v>
      </c>
      <c r="G61" s="158">
        <f>G51*$B$31</f>
        <v>0</v>
      </c>
      <c r="H61" s="158">
        <f>H51*$B$31</f>
        <v>0</v>
      </c>
      <c r="I61" s="158">
        <f>I51*$B$31</f>
        <v>0</v>
      </c>
      <c r="J61" s="158">
        <f>J51*$B$31</f>
        <v>1981.7256759783529</v>
      </c>
      <c r="K61" s="158">
        <f>K51*$B$31</f>
        <v>2283.191276534943</v>
      </c>
      <c r="L61" s="158">
        <f>L51*$B$31</f>
        <v>2685.8847047862505</v>
      </c>
      <c r="M61" s="158">
        <f>M51*$B$31</f>
        <v>3361.190311932236</v>
      </c>
      <c r="N61" s="158">
        <f>N51*$B$31</f>
        <v>4130.4253507172134</v>
      </c>
      <c r="O61" s="158">
        <f>O51*$B$31</f>
        <v>5004.654589229277</v>
      </c>
      <c r="P61" s="158">
        <f>P51*$B$31</f>
        <v>5996.1678518833769</v>
      </c>
      <c r="Q61" s="158">
        <f>Q51*$B$31</f>
        <v>7118.6162638072065</v>
      </c>
      <c r="R61" s="158">
        <f>R51*$B$31</f>
        <v>8387.1649309355998</v>
      </c>
      <c r="S61" s="158">
        <f>S51*$B$31</f>
        <v>9818.6643972202728</v>
      </c>
      <c r="T61" s="158">
        <f>T51*$B$31</f>
        <v>11431.843629782003</v>
      </c>
      <c r="U61" s="158">
        <f>U51*$B$31</f>
        <v>13247.527776549943</v>
      </c>
      <c r="V61" s="158">
        <f>V51*$B$31</f>
        <v>15288.884537980499</v>
      </c>
      <c r="W61" s="158">
        <f>W51*$B$31</f>
        <v>17581.703718339977</v>
      </c>
      <c r="X61" s="158">
        <f>X51*$B$31</f>
        <v>20154.715401839501</v>
      </c>
      <c r="Y61" s="158">
        <f>Y51*$B$31</f>
        <v>23596.808437168893</v>
      </c>
      <c r="Z61" s="158">
        <f>Z51*$B$31</f>
        <v>27478.97010674993</v>
      </c>
      <c r="AA61" s="158">
        <f>AA51*$B$31</f>
        <v>31852.562247012924</v>
      </c>
      <c r="AB61" s="158">
        <f>AB51*$B$31</f>
        <v>36774.953038348853</v>
      </c>
      <c r="AC61" s="158">
        <f>AC51*$B$31</f>
        <v>42310.286381126643</v>
      </c>
      <c r="AD61" s="158">
        <f>AD51*$B$31</f>
        <v>48530.368359322332</v>
      </c>
      <c r="AE61" s="158">
        <f>AE51*$B$31</f>
        <v>55515.692389798452</v>
      </c>
      <c r="AF61" s="158">
        <f>AF51*$B$31</f>
        <v>63356.629241534167</v>
      </c>
      <c r="AG61" s="158">
        <f>AG51*$B$31</f>
        <v>72154.813745508945</v>
      </c>
      <c r="AH61" s="158">
        <f>AH51*$B$31</f>
        <v>82024.76695112513</v>
      </c>
      <c r="AI61" s="158">
        <f>AI51*$B$31</f>
        <v>93095.801027338006</v>
      </c>
      <c r="AJ61" s="158">
        <f>AJ51*$B$31</f>
        <v>105514.2647384322</v>
      </c>
      <c r="AK61" s="158">
        <f>AK51*$B$31</f>
        <v>120287.55394390921</v>
      </c>
      <c r="AL61" s="158">
        <f>AL51*$B$31</f>
        <v>136902.34316207649</v>
      </c>
      <c r="AM61" s="158">
        <f>AM51*$B$31</f>
        <v>155591.37095604133</v>
      </c>
      <c r="AN61" s="158">
        <f>AN51*$B$31</f>
        <v>176620.6982987808</v>
      </c>
      <c r="AO61" s="158">
        <f>AO51*$B$31</f>
        <v>200294.44113824912</v>
      </c>
      <c r="AP61" s="158">
        <f>AP51*$B$31</f>
        <v>226962.25583617165</v>
      </c>
      <c r="AQ61" s="158">
        <f>AQ51*$B$31</f>
        <v>257027.17197997641</v>
      </c>
      <c r="AR61" s="158">
        <f>AR51*$B$31</f>
        <v>290955.33216907113</v>
      </c>
      <c r="AS61" s="158">
        <f>AS51*$B$31</f>
        <v>329287.77770894329</v>
      </c>
      <c r="AT61" s="158">
        <f>AT51*$B$31</f>
        <v>372654.74564659456</v>
      </c>
      <c r="AU61" s="158">
        <f>AU51*$B$31</f>
        <v>421793.05244057567</v>
      </c>
      <c r="AV61" s="158">
        <f>AV51*$B$31</f>
        <v>477567.27574915404</v>
      </c>
      <c r="AW61" s="158">
        <f>AW51*$B$31</f>
        <v>515772.65780908638</v>
      </c>
      <c r="AX61" s="158">
        <f>AX51*$B$31</f>
        <v>557034.47043381329</v>
      </c>
      <c r="AY61" s="158">
        <f>AY51*$B$31</f>
        <v>601597.22806851845</v>
      </c>
      <c r="AZ61" s="158">
        <f>AZ51*$B$31</f>
        <v>649725.00631399988</v>
      </c>
      <c r="BA61" s="158">
        <f>BA51*$B$31</f>
        <v>701703.00681911991</v>
      </c>
      <c r="BB61" s="158">
        <f>BB51*$B$31</f>
        <v>757839.24736464967</v>
      </c>
      <c r="BC61" s="158">
        <f>BC51*$B$31</f>
        <v>818466.38715382165</v>
      </c>
      <c r="BD61" s="158">
        <f>BD51*$B$31</f>
        <v>883943.69812612724</v>
      </c>
    </row>
    <row r="62" spans="1:56" x14ac:dyDescent="0.25">
      <c r="A62" s="113" t="s">
        <v>248</v>
      </c>
      <c r="B62" s="191">
        <f>SUM(B56:B61)</f>
        <v>20331.666666666668</v>
      </c>
      <c r="C62" s="191">
        <f t="shared" ref="C62:M62" si="171">SUM(C56:C61)</f>
        <v>20346.666666666668</v>
      </c>
      <c r="D62" s="191">
        <f t="shared" si="171"/>
        <v>20361.891666666666</v>
      </c>
      <c r="E62" s="191">
        <f t="shared" si="171"/>
        <v>20377.345041666667</v>
      </c>
      <c r="F62" s="191">
        <f t="shared" si="171"/>
        <v>20393.030217291667</v>
      </c>
      <c r="G62" s="191">
        <f t="shared" si="171"/>
        <v>20408.950670551043</v>
      </c>
      <c r="H62" s="191">
        <f t="shared" si="171"/>
        <v>10564.44326394264</v>
      </c>
      <c r="I62" s="191">
        <f t="shared" si="171"/>
        <v>10580.844912901779</v>
      </c>
      <c r="J62" s="191">
        <f t="shared" si="171"/>
        <v>37925.47502235719</v>
      </c>
      <c r="K62" s="191">
        <f t="shared" si="171"/>
        <v>41258.494017278608</v>
      </c>
      <c r="L62" s="191">
        <f t="shared" si="171"/>
        <v>45705.27257767391</v>
      </c>
      <c r="M62" s="191">
        <f t="shared" si="171"/>
        <v>53151.042368655129</v>
      </c>
      <c r="N62" s="191">
        <f t="shared" ref="N62" si="172">SUM(N56:N61)</f>
        <v>61630.297029350884</v>
      </c>
      <c r="O62" s="191">
        <f t="shared" ref="O62" si="173">SUM(O56:O61)</f>
        <v>71264.752925555513</v>
      </c>
      <c r="P62" s="191">
        <f t="shared" ref="P62" si="174">SUM(P56:P61)</f>
        <v>82189.602101411103</v>
      </c>
      <c r="Q62" s="191">
        <f t="shared" ref="Q62" si="175">SUM(Q56:Q61)</f>
        <v>94555.01096853365</v>
      </c>
      <c r="R62" s="191">
        <f t="shared" ref="R62" si="176">SUM(R56:R61)</f>
        <v>108527.79978794578</v>
      </c>
      <c r="S62" s="191">
        <f t="shared" ref="S62" si="177">SUM(S56:S61)</f>
        <v>124293.328700292</v>
      </c>
      <c r="T62" s="191">
        <f t="shared" ref="T62" si="178">SUM(T56:T61)</f>
        <v>142057.62056343406</v>
      </c>
      <c r="U62" s="191">
        <f t="shared" ref="U62" si="179">SUM(U56:U61)</f>
        <v>162049.75628741889</v>
      </c>
      <c r="V62" s="191">
        <f t="shared" ref="V62" si="180">SUM(V56:V61)</f>
        <v>184524.58492433553</v>
      </c>
      <c r="W62" s="191">
        <f t="shared" ref="W62" si="181">SUM(W56:W61)</f>
        <v>209765.79873338804</v>
      </c>
      <c r="X62" s="191">
        <f t="shared" ref="X62" si="182">SUM(X56:X61)</f>
        <v>238089.43311935753</v>
      </c>
      <c r="Y62" s="191">
        <f t="shared" ref="Y62" si="183">SUM(Y56:Y61)</f>
        <v>275973.26996346767</v>
      </c>
      <c r="Z62" s="191">
        <f t="shared" ref="Z62" si="184">SUM(Z56:Z61)</f>
        <v>318698.17398617824</v>
      </c>
      <c r="AA62" s="191">
        <f t="shared" ref="AA62" si="185">SUM(AA56:AA61)</f>
        <v>366829.13007125014</v>
      </c>
      <c r="AB62" s="191">
        <f t="shared" ref="AB62" si="186">SUM(AB56:AB61)</f>
        <v>420997.19295625697</v>
      </c>
      <c r="AC62" s="191">
        <f t="shared" ref="AC62" si="187">SUM(AC56:AC61)</f>
        <v>481907.95036982896</v>
      </c>
      <c r="AD62" s="191">
        <f t="shared" ref="AD62" si="188">SUM(AD56:AD61)</f>
        <v>550351.27413264313</v>
      </c>
      <c r="AE62" s="191">
        <f t="shared" ref="AE62" si="189">SUM(AE56:AE61)</f>
        <v>627212.5968005819</v>
      </c>
      <c r="AF62" s="191">
        <f t="shared" ref="AF62" si="190">SUM(AF56:AF61)</f>
        <v>713486.00187736668</v>
      </c>
      <c r="AG62" s="191">
        <f t="shared" ref="AG62" si="191">SUM(AG56:AG61)</f>
        <v>810289.47762439656</v>
      </c>
      <c r="AH62" s="191">
        <f t="shared" ref="AH62" si="192">SUM(AH56:AH61)</f>
        <v>918882.7607825317</v>
      </c>
      <c r="AI62" s="191">
        <f t="shared" ref="AI62" si="193">SUM(AI56:AI61)</f>
        <v>1040688.2904856757</v>
      </c>
      <c r="AJ62" s="191">
        <f t="shared" ref="AJ62" si="194">SUM(AJ56:AJ61)</f>
        <v>1177315.908495486</v>
      </c>
      <c r="AK62" s="191">
        <f t="shared" ref="AK62" si="195">SUM(AK56:AK61)</f>
        <v>1339846.9747013242</v>
      </c>
      <c r="AL62" s="191">
        <f t="shared" ref="AL62" si="196">SUM(AL56:AL61)</f>
        <v>1522634.914320939</v>
      </c>
      <c r="AM62" s="191">
        <f t="shared" ref="AM62" si="197">SUM(AM56:AM61)</f>
        <v>1728239.8571476238</v>
      </c>
      <c r="AN62" s="191">
        <f t="shared" ref="AN62" si="198">SUM(AN56:AN61)</f>
        <v>1959588.4795672256</v>
      </c>
      <c r="AO62" s="191">
        <f t="shared" ref="AO62" si="199">SUM(AO56:AO61)</f>
        <v>2220026.0627755867</v>
      </c>
      <c r="AP62" s="191">
        <f t="shared" ref="AP62" si="200">SUM(AP56:AP61)</f>
        <v>2513398.8326065573</v>
      </c>
      <c r="AQ62" s="191">
        <f t="shared" ref="AQ62" si="201">SUM(AQ56:AQ61)</f>
        <v>2844140.1204645396</v>
      </c>
      <c r="AR62" s="191">
        <f t="shared" ref="AR62" si="202">SUM(AR56:AR61)</f>
        <v>3217377.5009748535</v>
      </c>
      <c r="AS62" s="191">
        <f t="shared" ref="AS62" si="203">SUM(AS56:AS61)</f>
        <v>3639062.4346201732</v>
      </c>
      <c r="AT62" s="191">
        <f t="shared" ref="AT62" si="204">SUM(AT56:AT61)</f>
        <v>4116127.535131664</v>
      </c>
      <c r="AU62" s="191">
        <f t="shared" ref="AU62" si="205">SUM(AU56:AU61)</f>
        <v>4656677.7898607431</v>
      </c>
      <c r="AV62" s="191">
        <f t="shared" ref="AV62" si="206">SUM(AV56:AV61)</f>
        <v>5270223.5594503218</v>
      </c>
      <c r="AW62" s="191">
        <f t="shared" ref="AW62" si="207">SUM(AW56:AW61)</f>
        <v>5690512.5150027219</v>
      </c>
      <c r="AX62" s="191">
        <f t="shared" ref="AX62" si="208">SUM(AX56:AX61)</f>
        <v>6144422.6530612595</v>
      </c>
      <c r="AY62" s="191">
        <f t="shared" ref="AY62" si="209">SUM(AY56:AY61)</f>
        <v>6634643.6392173553</v>
      </c>
      <c r="AZ62" s="191">
        <f t="shared" ref="AZ62" si="210">SUM(AZ56:AZ61)</f>
        <v>7164080.3118746057</v>
      </c>
      <c r="BA62" s="191">
        <f t="shared" ref="BA62" si="211">SUM(BA56:BA61)</f>
        <v>7735869.8960672356</v>
      </c>
      <c r="BB62" s="191">
        <f t="shared" ref="BB62" si="212">SUM(BB56:BB61)</f>
        <v>8353400.5943839159</v>
      </c>
      <c r="BC62" s="191">
        <f t="shared" ref="BC62" si="213">SUM(BC56:BC61)</f>
        <v>9020331.6651654001</v>
      </c>
      <c r="BD62" s="191">
        <f t="shared" ref="BD62" si="214">SUM(BD56:BD61)</f>
        <v>9740615.106957864</v>
      </c>
    </row>
    <row r="63" spans="1:56" x14ac:dyDescent="0.25">
      <c r="A63" s="129" t="s">
        <v>626</v>
      </c>
      <c r="B63" s="229">
        <f>B62-B56-B57</f>
        <v>1000</v>
      </c>
      <c r="C63" s="229">
        <f t="shared" ref="C63:AU63" si="215">C62-C56-C57</f>
        <v>1015</v>
      </c>
      <c r="D63" s="229">
        <f t="shared" si="215"/>
        <v>1030.2249999999985</v>
      </c>
      <c r="E63" s="229">
        <f t="shared" si="215"/>
        <v>1045.6783749999995</v>
      </c>
      <c r="F63" s="229">
        <f t="shared" si="215"/>
        <v>1061.3635506249993</v>
      </c>
      <c r="G63" s="229">
        <f t="shared" si="215"/>
        <v>1077.2840038843751</v>
      </c>
      <c r="H63" s="229">
        <f t="shared" si="215"/>
        <v>1093.4432639426395</v>
      </c>
      <c r="I63" s="229">
        <f t="shared" si="215"/>
        <v>1109.844912901779</v>
      </c>
      <c r="J63" s="229">
        <f t="shared" si="215"/>
        <v>37925.47502235719</v>
      </c>
      <c r="K63" s="229">
        <f t="shared" si="215"/>
        <v>41258.494017278608</v>
      </c>
      <c r="L63" s="229">
        <f t="shared" si="215"/>
        <v>45705.27257767391</v>
      </c>
      <c r="M63" s="229">
        <f t="shared" si="215"/>
        <v>53151.042368655129</v>
      </c>
      <c r="N63" s="229">
        <f t="shared" si="215"/>
        <v>61630.297029350884</v>
      </c>
      <c r="O63" s="229">
        <f t="shared" si="215"/>
        <v>71264.752925555513</v>
      </c>
      <c r="P63" s="229">
        <f t="shared" si="215"/>
        <v>82189.602101411103</v>
      </c>
      <c r="Q63" s="229">
        <f t="shared" si="215"/>
        <v>94555.01096853365</v>
      </c>
      <c r="R63" s="229">
        <f t="shared" si="215"/>
        <v>108527.79978794578</v>
      </c>
      <c r="S63" s="229">
        <f t="shared" si="215"/>
        <v>124293.328700292</v>
      </c>
      <c r="T63" s="229">
        <f t="shared" si="215"/>
        <v>142057.62056343406</v>
      </c>
      <c r="U63" s="229">
        <f t="shared" si="215"/>
        <v>162049.75628741889</v>
      </c>
      <c r="V63" s="229">
        <f t="shared" si="215"/>
        <v>184524.58492433553</v>
      </c>
      <c r="W63" s="229">
        <f t="shared" si="215"/>
        <v>209765.79873338804</v>
      </c>
      <c r="X63" s="229">
        <f t="shared" si="215"/>
        <v>238089.43311935753</v>
      </c>
      <c r="Y63" s="229">
        <f t="shared" si="215"/>
        <v>275973.26996346767</v>
      </c>
      <c r="Z63" s="229">
        <f t="shared" si="215"/>
        <v>318698.17398617824</v>
      </c>
      <c r="AA63" s="229">
        <f t="shared" si="215"/>
        <v>366829.13007125014</v>
      </c>
      <c r="AB63" s="229">
        <f t="shared" si="215"/>
        <v>420997.19295625697</v>
      </c>
      <c r="AC63" s="229">
        <f t="shared" si="215"/>
        <v>481907.95036982896</v>
      </c>
      <c r="AD63" s="229">
        <f t="shared" si="215"/>
        <v>550351.27413264313</v>
      </c>
      <c r="AE63" s="229">
        <f t="shared" si="215"/>
        <v>627212.5968005819</v>
      </c>
      <c r="AF63" s="229">
        <f t="shared" si="215"/>
        <v>713486.00187736668</v>
      </c>
      <c r="AG63" s="229">
        <f t="shared" si="215"/>
        <v>810289.47762439656</v>
      </c>
      <c r="AH63" s="229">
        <f t="shared" si="215"/>
        <v>918882.7607825317</v>
      </c>
      <c r="AI63" s="229">
        <f t="shared" si="215"/>
        <v>1040688.2904856757</v>
      </c>
      <c r="AJ63" s="229">
        <f t="shared" si="215"/>
        <v>1177315.908495486</v>
      </c>
      <c r="AK63" s="229">
        <f t="shared" si="215"/>
        <v>1339846.9747013242</v>
      </c>
      <c r="AL63" s="229">
        <f t="shared" si="215"/>
        <v>1522634.914320939</v>
      </c>
      <c r="AM63" s="229">
        <f t="shared" si="215"/>
        <v>1728239.8571476238</v>
      </c>
      <c r="AN63" s="229">
        <f t="shared" si="215"/>
        <v>1959588.4795672256</v>
      </c>
      <c r="AO63" s="229">
        <f t="shared" si="215"/>
        <v>2220026.0627755867</v>
      </c>
      <c r="AP63" s="229">
        <f t="shared" si="215"/>
        <v>2513398.8326065573</v>
      </c>
      <c r="AQ63" s="229">
        <f t="shared" si="215"/>
        <v>2844140.1204645396</v>
      </c>
      <c r="AR63" s="229">
        <f t="shared" si="215"/>
        <v>3217377.5009748535</v>
      </c>
      <c r="AS63" s="229">
        <f t="shared" si="215"/>
        <v>3639062.4346201732</v>
      </c>
      <c r="AT63" s="229">
        <f t="shared" si="215"/>
        <v>4116127.535131664</v>
      </c>
      <c r="AU63" s="229">
        <f t="shared" si="215"/>
        <v>4656677.7898607431</v>
      </c>
      <c r="AV63" s="229">
        <f t="shared" ref="AV63" si="216">AV62-AV56-AV57</f>
        <v>5270223.5594503218</v>
      </c>
      <c r="AW63" s="229">
        <f t="shared" ref="AW63" si="217">AW62-AW56-AW57</f>
        <v>5690512.5150027219</v>
      </c>
      <c r="AX63" s="229">
        <f t="shared" ref="AX63" si="218">AX62-AX56-AX57</f>
        <v>6144422.6530612595</v>
      </c>
      <c r="AY63" s="229">
        <f t="shared" ref="AY63" si="219">AY62-AY56-AY57</f>
        <v>6634643.6392173553</v>
      </c>
      <c r="AZ63" s="229">
        <f t="shared" ref="AZ63" si="220">AZ62-AZ56-AZ57</f>
        <v>7164080.3118746057</v>
      </c>
      <c r="BA63" s="229">
        <f t="shared" ref="BA63" si="221">BA62-BA56-BA57</f>
        <v>7735869.8960672356</v>
      </c>
      <c r="BB63" s="229">
        <f t="shared" ref="BB63" si="222">BB62-BB56-BB57</f>
        <v>8353400.5943839159</v>
      </c>
      <c r="BC63" s="229">
        <f t="shared" ref="BC63" si="223">BC62-BC56-BC57</f>
        <v>9020331.6651654001</v>
      </c>
      <c r="BD63" s="229">
        <f t="shared" ref="BD63" si="224">BD62-BD56-BD57</f>
        <v>9740615.106957864</v>
      </c>
    </row>
    <row r="65" spans="1:56" x14ac:dyDescent="0.25">
      <c r="A65" s="3" t="s">
        <v>56</v>
      </c>
      <c r="B65" s="131">
        <f>B55</f>
        <v>44228</v>
      </c>
      <c r="C65" s="131">
        <f t="shared" ref="C65:M65" si="225">C55</f>
        <v>44259</v>
      </c>
      <c r="D65" s="131">
        <f t="shared" si="225"/>
        <v>44290</v>
      </c>
      <c r="E65" s="131">
        <f t="shared" si="225"/>
        <v>44321</v>
      </c>
      <c r="F65" s="131">
        <f t="shared" si="225"/>
        <v>44352</v>
      </c>
      <c r="G65" s="131">
        <f t="shared" si="225"/>
        <v>44383</v>
      </c>
      <c r="H65" s="131">
        <f t="shared" si="225"/>
        <v>44414</v>
      </c>
      <c r="I65" s="131">
        <f t="shared" si="225"/>
        <v>44445</v>
      </c>
      <c r="J65" s="131">
        <f t="shared" si="225"/>
        <v>44476</v>
      </c>
      <c r="K65" s="131">
        <f t="shared" si="225"/>
        <v>44507</v>
      </c>
      <c r="L65" s="131">
        <f t="shared" si="225"/>
        <v>44538</v>
      </c>
      <c r="M65" s="131">
        <f t="shared" si="225"/>
        <v>44569</v>
      </c>
      <c r="N65" s="131">
        <f t="shared" ref="N65:BD65" si="226">N55</f>
        <v>44600</v>
      </c>
      <c r="O65" s="131">
        <f t="shared" si="226"/>
        <v>44631</v>
      </c>
      <c r="P65" s="131">
        <f t="shared" si="226"/>
        <v>44662</v>
      </c>
      <c r="Q65" s="131">
        <f t="shared" si="226"/>
        <v>44693</v>
      </c>
      <c r="R65" s="131">
        <f t="shared" si="226"/>
        <v>44724</v>
      </c>
      <c r="S65" s="131">
        <f t="shared" si="226"/>
        <v>44755</v>
      </c>
      <c r="T65" s="131">
        <f t="shared" si="226"/>
        <v>44786</v>
      </c>
      <c r="U65" s="131">
        <f t="shared" si="226"/>
        <v>44817</v>
      </c>
      <c r="V65" s="131">
        <f t="shared" si="226"/>
        <v>44848</v>
      </c>
      <c r="W65" s="131">
        <f t="shared" si="226"/>
        <v>44879</v>
      </c>
      <c r="X65" s="131">
        <f t="shared" si="226"/>
        <v>44910</v>
      </c>
      <c r="Y65" s="131">
        <f t="shared" si="226"/>
        <v>44941</v>
      </c>
      <c r="Z65" s="131">
        <f t="shared" si="226"/>
        <v>44972</v>
      </c>
      <c r="AA65" s="131">
        <f t="shared" si="226"/>
        <v>45003</v>
      </c>
      <c r="AB65" s="131">
        <f t="shared" si="226"/>
        <v>45034</v>
      </c>
      <c r="AC65" s="131">
        <f t="shared" si="226"/>
        <v>45065</v>
      </c>
      <c r="AD65" s="131">
        <f t="shared" si="226"/>
        <v>45096</v>
      </c>
      <c r="AE65" s="131">
        <f t="shared" si="226"/>
        <v>45127</v>
      </c>
      <c r="AF65" s="131">
        <f t="shared" si="226"/>
        <v>45158</v>
      </c>
      <c r="AG65" s="131">
        <f t="shared" si="226"/>
        <v>45189</v>
      </c>
      <c r="AH65" s="131">
        <f t="shared" si="226"/>
        <v>45220</v>
      </c>
      <c r="AI65" s="131">
        <f t="shared" si="226"/>
        <v>45251</v>
      </c>
      <c r="AJ65" s="131">
        <f t="shared" si="226"/>
        <v>45282</v>
      </c>
      <c r="AK65" s="131">
        <f t="shared" si="226"/>
        <v>45313</v>
      </c>
      <c r="AL65" s="131">
        <f t="shared" si="226"/>
        <v>45344</v>
      </c>
      <c r="AM65" s="131">
        <f t="shared" si="226"/>
        <v>45375</v>
      </c>
      <c r="AN65" s="131">
        <f t="shared" si="226"/>
        <v>45406</v>
      </c>
      <c r="AO65" s="131">
        <f t="shared" si="226"/>
        <v>45437</v>
      </c>
      <c r="AP65" s="131">
        <f t="shared" si="226"/>
        <v>45468</v>
      </c>
      <c r="AQ65" s="131">
        <f t="shared" si="226"/>
        <v>45499</v>
      </c>
      <c r="AR65" s="131">
        <f t="shared" si="226"/>
        <v>45530</v>
      </c>
      <c r="AS65" s="131">
        <f t="shared" si="226"/>
        <v>45561</v>
      </c>
      <c r="AT65" s="131">
        <f t="shared" si="226"/>
        <v>45592</v>
      </c>
      <c r="AU65" s="131">
        <f t="shared" si="226"/>
        <v>45623</v>
      </c>
      <c r="AV65" s="131">
        <f t="shared" si="226"/>
        <v>45654</v>
      </c>
      <c r="AW65" s="131">
        <f t="shared" si="226"/>
        <v>45685</v>
      </c>
      <c r="AX65" s="131">
        <f t="shared" si="226"/>
        <v>45716</v>
      </c>
      <c r="AY65" s="131">
        <f t="shared" si="226"/>
        <v>45747</v>
      </c>
      <c r="AZ65" s="131">
        <f t="shared" si="226"/>
        <v>45778</v>
      </c>
      <c r="BA65" s="131">
        <f t="shared" si="226"/>
        <v>45809</v>
      </c>
      <c r="BB65" s="131">
        <f t="shared" si="226"/>
        <v>45840</v>
      </c>
      <c r="BC65" s="131">
        <f t="shared" si="226"/>
        <v>45871</v>
      </c>
      <c r="BD65" s="131">
        <f t="shared" si="226"/>
        <v>45902</v>
      </c>
    </row>
    <row r="66" spans="1:56" outlineLevel="1" x14ac:dyDescent="0.25">
      <c r="A66" s="18" t="s">
        <v>249</v>
      </c>
      <c r="B66" s="114">
        <f>B51</f>
        <v>0</v>
      </c>
      <c r="C66" s="114">
        <f>C51</f>
        <v>0</v>
      </c>
      <c r="D66" s="114">
        <f>D51</f>
        <v>0</v>
      </c>
      <c r="E66" s="114">
        <f>E51</f>
        <v>0</v>
      </c>
      <c r="F66" s="114">
        <f>F51</f>
        <v>0</v>
      </c>
      <c r="G66" s="114">
        <f>G51</f>
        <v>0</v>
      </c>
      <c r="H66" s="114">
        <f>H51</f>
        <v>0</v>
      </c>
      <c r="I66" s="114">
        <f>I51</f>
        <v>0</v>
      </c>
      <c r="J66" s="114">
        <f>J51</f>
        <v>99086.283798917648</v>
      </c>
      <c r="K66" s="114">
        <f>K51</f>
        <v>114159.56382674715</v>
      </c>
      <c r="L66" s="114">
        <f>L51</f>
        <v>134294.23523931252</v>
      </c>
      <c r="M66" s="114">
        <f>M51</f>
        <v>168059.5155966118</v>
      </c>
      <c r="N66" s="114">
        <f>N51</f>
        <v>206521.26753586065</v>
      </c>
      <c r="O66" s="114">
        <f>O51</f>
        <v>250232.72946146387</v>
      </c>
      <c r="P66" s="114">
        <f>P51</f>
        <v>299808.39259416884</v>
      </c>
      <c r="Q66" s="114">
        <f>Q51</f>
        <v>355930.81319036032</v>
      </c>
      <c r="R66" s="114">
        <f>R51</f>
        <v>419358.24654677999</v>
      </c>
      <c r="S66" s="114">
        <f>S51</f>
        <v>490933.21986101364</v>
      </c>
      <c r="T66" s="114">
        <f>T51</f>
        <v>571592.1814891001</v>
      </c>
      <c r="U66" s="114">
        <f>U51</f>
        <v>662376.38882749714</v>
      </c>
      <c r="V66" s="114">
        <f>V51</f>
        <v>764444.22689902491</v>
      </c>
      <c r="W66" s="114">
        <f>W51</f>
        <v>879085.18591699889</v>
      </c>
      <c r="X66" s="114">
        <f>X51</f>
        <v>1007735.7700919751</v>
      </c>
      <c r="Y66" s="114">
        <f>Y51</f>
        <v>1179840.4218584446</v>
      </c>
      <c r="Z66" s="114">
        <f>Z51</f>
        <v>1373948.5053374965</v>
      </c>
      <c r="AA66" s="114">
        <f>AA51</f>
        <v>1592628.1123506462</v>
      </c>
      <c r="AB66" s="114">
        <f>AB51</f>
        <v>1838747.6519174424</v>
      </c>
      <c r="AC66" s="114">
        <f>AC51</f>
        <v>2115514.3190563321</v>
      </c>
      <c r="AD66" s="114">
        <f>AD51</f>
        <v>2426518.4179661167</v>
      </c>
      <c r="AE66" s="114">
        <f>AE51</f>
        <v>2775784.6194899227</v>
      </c>
      <c r="AF66" s="114">
        <f>AF51</f>
        <v>3167831.4620767082</v>
      </c>
      <c r="AG66" s="114">
        <f>AG51</f>
        <v>3607740.687275447</v>
      </c>
      <c r="AH66" s="114">
        <f>AH51</f>
        <v>4101238.3475562567</v>
      </c>
      <c r="AI66" s="114">
        <f>AI51</f>
        <v>4654790.0513669001</v>
      </c>
      <c r="AJ66" s="114">
        <f>AJ51</f>
        <v>5275713.2369216103</v>
      </c>
      <c r="AK66" s="114">
        <f>AK51</f>
        <v>6014377.6971954601</v>
      </c>
      <c r="AL66" s="114">
        <f>AL51</f>
        <v>6845117.1581038237</v>
      </c>
      <c r="AM66" s="114">
        <f>AM51</f>
        <v>7779568.5478020655</v>
      </c>
      <c r="AN66" s="114">
        <f>AN51</f>
        <v>8831034.9149390403</v>
      </c>
      <c r="AO66" s="114">
        <f>AO51</f>
        <v>10014722.056912456</v>
      </c>
      <c r="AP66" s="114">
        <f>AP51</f>
        <v>11348112.791808583</v>
      </c>
      <c r="AQ66" s="114">
        <f>AQ51</f>
        <v>12851358.59899882</v>
      </c>
      <c r="AR66" s="114">
        <f>AR51</f>
        <v>14547766.608453555</v>
      </c>
      <c r="AS66" s="114">
        <f>AS51</f>
        <v>16464388.885447163</v>
      </c>
      <c r="AT66" s="114">
        <f>AT51</f>
        <v>18632737.282329727</v>
      </c>
      <c r="AU66" s="114">
        <f>AU51</f>
        <v>21089652.622028783</v>
      </c>
      <c r="AV66" s="114">
        <f>AV51</f>
        <v>23878363.787457701</v>
      </c>
      <c r="AW66" s="114">
        <f>AW51</f>
        <v>25788632.890454318</v>
      </c>
      <c r="AX66" s="114">
        <f>AX51</f>
        <v>27851723.521690667</v>
      </c>
      <c r="AY66" s="114">
        <f>AY51</f>
        <v>30079861.403425921</v>
      </c>
      <c r="AZ66" s="114">
        <f>AZ51</f>
        <v>32486250.315699991</v>
      </c>
      <c r="BA66" s="114">
        <f>BA51</f>
        <v>35085150.340955995</v>
      </c>
      <c r="BB66" s="114">
        <f>BB51</f>
        <v>37891962.368232481</v>
      </c>
      <c r="BC66" s="114">
        <f>BC51</f>
        <v>40923319.357691079</v>
      </c>
      <c r="BD66" s="114">
        <f>BD51</f>
        <v>44197184.906306364</v>
      </c>
    </row>
    <row r="67" spans="1:56" ht="17" outlineLevel="1" thickBot="1" x14ac:dyDescent="0.3">
      <c r="A67" s="18" t="s">
        <v>112</v>
      </c>
      <c r="B67" s="114">
        <f t="shared" ref="B67:M67" si="227">B62</f>
        <v>20331.666666666668</v>
      </c>
      <c r="C67" s="114">
        <f t="shared" si="227"/>
        <v>20346.666666666668</v>
      </c>
      <c r="D67" s="114">
        <f t="shared" si="227"/>
        <v>20361.891666666666</v>
      </c>
      <c r="E67" s="114">
        <f t="shared" si="227"/>
        <v>20377.345041666667</v>
      </c>
      <c r="F67" s="114">
        <f t="shared" si="227"/>
        <v>20393.030217291667</v>
      </c>
      <c r="G67" s="114">
        <f t="shared" si="227"/>
        <v>20408.950670551043</v>
      </c>
      <c r="H67" s="114">
        <f t="shared" si="227"/>
        <v>10564.44326394264</v>
      </c>
      <c r="I67" s="114">
        <f t="shared" si="227"/>
        <v>10580.844912901779</v>
      </c>
      <c r="J67" s="114">
        <f t="shared" si="227"/>
        <v>37925.47502235719</v>
      </c>
      <c r="K67" s="114">
        <f t="shared" si="227"/>
        <v>41258.494017278608</v>
      </c>
      <c r="L67" s="114">
        <f t="shared" si="227"/>
        <v>45705.27257767391</v>
      </c>
      <c r="M67" s="114">
        <f t="shared" si="227"/>
        <v>53151.042368655129</v>
      </c>
      <c r="N67" s="114">
        <f t="shared" ref="N67:BD67" si="228">N62</f>
        <v>61630.297029350884</v>
      </c>
      <c r="O67" s="114">
        <f t="shared" si="228"/>
        <v>71264.752925555513</v>
      </c>
      <c r="P67" s="114">
        <f t="shared" si="228"/>
        <v>82189.602101411103</v>
      </c>
      <c r="Q67" s="114">
        <f t="shared" si="228"/>
        <v>94555.01096853365</v>
      </c>
      <c r="R67" s="114">
        <f t="shared" si="228"/>
        <v>108527.79978794578</v>
      </c>
      <c r="S67" s="114">
        <f t="shared" si="228"/>
        <v>124293.328700292</v>
      </c>
      <c r="T67" s="114">
        <f t="shared" si="228"/>
        <v>142057.62056343406</v>
      </c>
      <c r="U67" s="114">
        <f t="shared" si="228"/>
        <v>162049.75628741889</v>
      </c>
      <c r="V67" s="114">
        <f t="shared" si="228"/>
        <v>184524.58492433553</v>
      </c>
      <c r="W67" s="114">
        <f t="shared" si="228"/>
        <v>209765.79873338804</v>
      </c>
      <c r="X67" s="114">
        <f t="shared" si="228"/>
        <v>238089.43311935753</v>
      </c>
      <c r="Y67" s="114">
        <f t="shared" si="228"/>
        <v>275973.26996346767</v>
      </c>
      <c r="Z67" s="114">
        <f t="shared" si="228"/>
        <v>318698.17398617824</v>
      </c>
      <c r="AA67" s="114">
        <f t="shared" si="228"/>
        <v>366829.13007125014</v>
      </c>
      <c r="AB67" s="114">
        <f t="shared" si="228"/>
        <v>420997.19295625697</v>
      </c>
      <c r="AC67" s="114">
        <f t="shared" si="228"/>
        <v>481907.95036982896</v>
      </c>
      <c r="AD67" s="114">
        <f t="shared" si="228"/>
        <v>550351.27413264313</v>
      </c>
      <c r="AE67" s="114">
        <f t="shared" si="228"/>
        <v>627212.5968005819</v>
      </c>
      <c r="AF67" s="114">
        <f t="shared" si="228"/>
        <v>713486.00187736668</v>
      </c>
      <c r="AG67" s="114">
        <f t="shared" si="228"/>
        <v>810289.47762439656</v>
      </c>
      <c r="AH67" s="114">
        <f t="shared" si="228"/>
        <v>918882.7607825317</v>
      </c>
      <c r="AI67" s="114">
        <f t="shared" si="228"/>
        <v>1040688.2904856757</v>
      </c>
      <c r="AJ67" s="114">
        <f t="shared" si="228"/>
        <v>1177315.908495486</v>
      </c>
      <c r="AK67" s="114">
        <f t="shared" si="228"/>
        <v>1339846.9747013242</v>
      </c>
      <c r="AL67" s="114">
        <f t="shared" si="228"/>
        <v>1522634.914320939</v>
      </c>
      <c r="AM67" s="114">
        <f t="shared" si="228"/>
        <v>1728239.8571476238</v>
      </c>
      <c r="AN67" s="114">
        <f t="shared" si="228"/>
        <v>1959588.4795672256</v>
      </c>
      <c r="AO67" s="114">
        <f t="shared" si="228"/>
        <v>2220026.0627755867</v>
      </c>
      <c r="AP67" s="114">
        <f t="shared" si="228"/>
        <v>2513398.8326065573</v>
      </c>
      <c r="AQ67" s="114">
        <f t="shared" si="228"/>
        <v>2844140.1204645396</v>
      </c>
      <c r="AR67" s="114">
        <f t="shared" si="228"/>
        <v>3217377.5009748535</v>
      </c>
      <c r="AS67" s="114">
        <f t="shared" si="228"/>
        <v>3639062.4346201732</v>
      </c>
      <c r="AT67" s="114">
        <f t="shared" si="228"/>
        <v>4116127.535131664</v>
      </c>
      <c r="AU67" s="114">
        <f t="shared" si="228"/>
        <v>4656677.7898607431</v>
      </c>
      <c r="AV67" s="114">
        <f t="shared" si="228"/>
        <v>5270223.5594503218</v>
      </c>
      <c r="AW67" s="114">
        <f t="shared" si="228"/>
        <v>5690512.5150027219</v>
      </c>
      <c r="AX67" s="114">
        <f t="shared" si="228"/>
        <v>6144422.6530612595</v>
      </c>
      <c r="AY67" s="114">
        <f t="shared" si="228"/>
        <v>6634643.6392173553</v>
      </c>
      <c r="AZ67" s="114">
        <f t="shared" si="228"/>
        <v>7164080.3118746057</v>
      </c>
      <c r="BA67" s="114">
        <f t="shared" si="228"/>
        <v>7735869.8960672356</v>
      </c>
      <c r="BB67" s="114">
        <f t="shared" si="228"/>
        <v>8353400.5943839159</v>
      </c>
      <c r="BC67" s="114">
        <f t="shared" si="228"/>
        <v>9020331.6651654001</v>
      </c>
      <c r="BD67" s="114">
        <f t="shared" si="228"/>
        <v>9740615.106957864</v>
      </c>
    </row>
    <row r="68" spans="1:56" x14ac:dyDescent="0.25">
      <c r="A68" s="113" t="s">
        <v>250</v>
      </c>
      <c r="B68" s="120">
        <f>B66-B67</f>
        <v>-20331.666666666668</v>
      </c>
      <c r="C68" s="120">
        <f t="shared" ref="C68:M68" si="229">C66-C67</f>
        <v>-20346.666666666668</v>
      </c>
      <c r="D68" s="120">
        <f t="shared" si="229"/>
        <v>-20361.891666666666</v>
      </c>
      <c r="E68" s="120">
        <f t="shared" si="229"/>
        <v>-20377.345041666667</v>
      </c>
      <c r="F68" s="120">
        <f t="shared" si="229"/>
        <v>-20393.030217291667</v>
      </c>
      <c r="G68" s="120">
        <f t="shared" si="229"/>
        <v>-20408.950670551043</v>
      </c>
      <c r="H68" s="120">
        <f t="shared" si="229"/>
        <v>-10564.44326394264</v>
      </c>
      <c r="I68" s="120">
        <f t="shared" si="229"/>
        <v>-10580.844912901779</v>
      </c>
      <c r="J68" s="120">
        <f t="shared" si="229"/>
        <v>61160.808776560458</v>
      </c>
      <c r="K68" s="120">
        <f t="shared" si="229"/>
        <v>72901.06980946855</v>
      </c>
      <c r="L68" s="120">
        <f t="shared" si="229"/>
        <v>88588.962661638609</v>
      </c>
      <c r="M68" s="120">
        <f t="shared" si="229"/>
        <v>114908.47322795668</v>
      </c>
      <c r="N68" s="120">
        <f t="shared" ref="N68" si="230">N66-N67</f>
        <v>144890.97050650977</v>
      </c>
      <c r="O68" s="120">
        <f t="shared" ref="O68" si="231">O66-O67</f>
        <v>178967.97653590835</v>
      </c>
      <c r="P68" s="120">
        <f t="shared" ref="P68" si="232">P66-P67</f>
        <v>217618.79049275775</v>
      </c>
      <c r="Q68" s="120">
        <f t="shared" ref="Q68" si="233">Q66-Q67</f>
        <v>261375.80222182669</v>
      </c>
      <c r="R68" s="120">
        <f t="shared" ref="R68" si="234">R66-R67</f>
        <v>310830.44675883418</v>
      </c>
      <c r="S68" s="120">
        <f t="shared" ref="S68" si="235">S66-S67</f>
        <v>366639.89116072166</v>
      </c>
      <c r="T68" s="120">
        <f t="shared" ref="T68" si="236">T66-T67</f>
        <v>429534.56092566601</v>
      </c>
      <c r="U68" s="120">
        <f t="shared" ref="U68" si="237">U66-U67</f>
        <v>500326.63254007825</v>
      </c>
      <c r="V68" s="120">
        <f t="shared" ref="V68" si="238">V66-V67</f>
        <v>579919.64197468944</v>
      </c>
      <c r="W68" s="120">
        <f t="shared" ref="W68" si="239">W66-W67</f>
        <v>669319.38718361082</v>
      </c>
      <c r="X68" s="120">
        <f t="shared" ref="X68" si="240">X66-X67</f>
        <v>769646.33697261754</v>
      </c>
      <c r="Y68" s="120">
        <f t="shared" ref="Y68" si="241">Y66-Y67</f>
        <v>903867.15189497685</v>
      </c>
      <c r="Z68" s="120">
        <f t="shared" ref="Z68" si="242">Z66-Z67</f>
        <v>1055250.3313513184</v>
      </c>
      <c r="AA68" s="120">
        <f t="shared" ref="AA68" si="243">AA66-AA67</f>
        <v>1225798.9822793962</v>
      </c>
      <c r="AB68" s="120">
        <f t="shared" ref="AB68" si="244">AB66-AB67</f>
        <v>1417750.4589611855</v>
      </c>
      <c r="AC68" s="120">
        <f t="shared" ref="AC68" si="245">AC66-AC67</f>
        <v>1633606.3686865033</v>
      </c>
      <c r="AD68" s="120">
        <f t="shared" ref="AD68" si="246">AD66-AD67</f>
        <v>1876167.1438334736</v>
      </c>
      <c r="AE68" s="120">
        <f t="shared" ref="AE68" si="247">AE66-AE67</f>
        <v>2148572.0226893406</v>
      </c>
      <c r="AF68" s="120">
        <f t="shared" ref="AF68" si="248">AF66-AF67</f>
        <v>2454345.4601993416</v>
      </c>
      <c r="AG68" s="120">
        <f t="shared" ref="AG68" si="249">AG66-AG67</f>
        <v>2797451.2096510502</v>
      </c>
      <c r="AH68" s="120">
        <f t="shared" ref="AH68" si="250">AH66-AH67</f>
        <v>3182355.5867737252</v>
      </c>
      <c r="AI68" s="120">
        <f t="shared" ref="AI68" si="251">AI66-AI67</f>
        <v>3614101.7608812246</v>
      </c>
      <c r="AJ68" s="120">
        <f t="shared" ref="AJ68" si="252">AJ66-AJ67</f>
        <v>4098397.3284261245</v>
      </c>
      <c r="AK68" s="120">
        <f t="shared" ref="AK68" si="253">AK66-AK67</f>
        <v>4674530.7224941356</v>
      </c>
      <c r="AL68" s="120">
        <f t="shared" ref="AL68" si="254">AL66-AL67</f>
        <v>5322482.2437828844</v>
      </c>
      <c r="AM68" s="120">
        <f t="shared" ref="AM68" si="255">AM66-AM67</f>
        <v>6051328.6906544417</v>
      </c>
      <c r="AN68" s="120">
        <f t="shared" ref="AN68" si="256">AN66-AN67</f>
        <v>6871446.4353718143</v>
      </c>
      <c r="AO68" s="120">
        <f t="shared" ref="AO68" si="257">AO66-AO67</f>
        <v>7794695.994136869</v>
      </c>
      <c r="AP68" s="120">
        <f t="shared" ref="AP68" si="258">AP66-AP67</f>
        <v>8834713.9592020251</v>
      </c>
      <c r="AQ68" s="120">
        <f t="shared" ref="AQ68" si="259">AQ66-AQ67</f>
        <v>10007218.478534281</v>
      </c>
      <c r="AR68" s="120">
        <f t="shared" ref="AR68" si="260">AR66-AR67</f>
        <v>11330389.107478701</v>
      </c>
      <c r="AS68" s="120">
        <f t="shared" ref="AS68" si="261">AS66-AS67</f>
        <v>12825326.450826989</v>
      </c>
      <c r="AT68" s="120">
        <f t="shared" ref="AT68" si="262">AT66-AT67</f>
        <v>14516609.747198064</v>
      </c>
      <c r="AU68" s="120">
        <f t="shared" ref="AU68" si="263">AU66-AU67</f>
        <v>16432974.832168039</v>
      </c>
      <c r="AV68" s="120">
        <f t="shared" ref="AV68" si="264">AV66-AV67</f>
        <v>18608140.22800738</v>
      </c>
      <c r="AW68" s="120">
        <f t="shared" ref="AW68" si="265">AW66-AW67</f>
        <v>20098120.375451595</v>
      </c>
      <c r="AX68" s="120">
        <f t="shared" ref="AX68" si="266">AX66-AX67</f>
        <v>21707300.868629407</v>
      </c>
      <c r="AY68" s="120">
        <f t="shared" ref="AY68" si="267">AY66-AY67</f>
        <v>23445217.764208566</v>
      </c>
      <c r="AZ68" s="120">
        <f t="shared" ref="AZ68" si="268">AZ66-AZ67</f>
        <v>25322170.003825385</v>
      </c>
      <c r="BA68" s="120">
        <f t="shared" ref="BA68" si="269">BA66-BA67</f>
        <v>27349280.444888759</v>
      </c>
      <c r="BB68" s="120">
        <f t="shared" ref="BB68" si="270">BB66-BB67</f>
        <v>29538561.773848563</v>
      </c>
      <c r="BC68" s="120">
        <f t="shared" ref="BC68" si="271">BC66-BC67</f>
        <v>31902987.692525677</v>
      </c>
      <c r="BD68" s="120">
        <f t="shared" ref="BD68" si="272">BD66-BD67</f>
        <v>34456569.799348503</v>
      </c>
    </row>
    <row r="69" spans="1:56" x14ac:dyDescent="0.25">
      <c r="A69" s="2" t="s">
        <v>251</v>
      </c>
      <c r="B69" s="132" t="e">
        <f>B68/B66</f>
        <v>#DIV/0!</v>
      </c>
      <c r="C69" s="132" t="e">
        <f t="shared" ref="C69:M69" si="273">C68/C66</f>
        <v>#DIV/0!</v>
      </c>
      <c r="D69" s="132" t="e">
        <f t="shared" si="273"/>
        <v>#DIV/0!</v>
      </c>
      <c r="E69" s="132" t="e">
        <f t="shared" si="273"/>
        <v>#DIV/0!</v>
      </c>
      <c r="F69" s="132" t="e">
        <f t="shared" si="273"/>
        <v>#DIV/0!</v>
      </c>
      <c r="G69" s="132" t="e">
        <f t="shared" si="273"/>
        <v>#DIV/0!</v>
      </c>
      <c r="H69" s="132" t="e">
        <f t="shared" si="273"/>
        <v>#DIV/0!</v>
      </c>
      <c r="I69" s="132" t="e">
        <f t="shared" si="273"/>
        <v>#DIV/0!</v>
      </c>
      <c r="J69" s="132">
        <f t="shared" si="273"/>
        <v>0.61724798258332236</v>
      </c>
      <c r="K69" s="132">
        <f t="shared" si="273"/>
        <v>0.63858924618971002</v>
      </c>
      <c r="L69" s="132">
        <f t="shared" si="273"/>
        <v>0.65966318288922043</v>
      </c>
      <c r="M69" s="132">
        <f t="shared" si="273"/>
        <v>0.6837367870544625</v>
      </c>
      <c r="N69" s="132">
        <f t="shared" ref="N69" si="274">N68/N66</f>
        <v>0.70157893293653495</v>
      </c>
      <c r="O69" s="132">
        <f t="shared" ref="O69" si="275">O68/O66</f>
        <v>0.71520610801421813</v>
      </c>
      <c r="P69" s="132">
        <f t="shared" ref="P69" si="276">P68/P66</f>
        <v>0.72585956853894407</v>
      </c>
      <c r="Q69" s="132">
        <f t="shared" ref="Q69" si="277">Q68/Q66</f>
        <v>0.73434440777690313</v>
      </c>
      <c r="R69" s="132">
        <f t="shared" ref="R69" si="278">R68/R66</f>
        <v>0.74120504203357929</v>
      </c>
      <c r="S69" s="132">
        <f t="shared" ref="S69" si="279">S68/S66</f>
        <v>0.746822330060532</v>
      </c>
      <c r="T69" s="132">
        <f t="shared" ref="T69" si="280">T68/T66</f>
        <v>0.75147032243627176</v>
      </c>
      <c r="U69" s="132">
        <f t="shared" ref="U69" si="281">U68/U66</f>
        <v>0.75535094695287885</v>
      </c>
      <c r="V69" s="132">
        <f t="shared" ref="V69" si="282">V68/V66</f>
        <v>0.75861602660947391</v>
      </c>
      <c r="W69" s="132">
        <f t="shared" ref="W69" si="283">W68/W66</f>
        <v>0.76138171579518155</v>
      </c>
      <c r="X69" s="132">
        <f t="shared" ref="X69" si="284">X68/X66</f>
        <v>0.76373823358713633</v>
      </c>
      <c r="Y69" s="132">
        <f t="shared" ref="Y69" si="285">Y68/Y66</f>
        <v>0.76609271487006347</v>
      </c>
      <c r="Z69" s="132">
        <f t="shared" ref="Z69" si="286">Z68/Z66</f>
        <v>0.76804212621644563</v>
      </c>
      <c r="AA69" s="132">
        <f t="shared" ref="AA69" si="287">AA68/AA66</f>
        <v>0.76967056701653536</v>
      </c>
      <c r="AB69" s="132">
        <f t="shared" ref="AB69" si="288">AB68/AB66</f>
        <v>0.77104134299383509</v>
      </c>
      <c r="AC69" s="132">
        <f t="shared" ref="AC69" si="289">AC68/AC66</f>
        <v>0.77220293617072111</v>
      </c>
      <c r="AD69" s="132">
        <f t="shared" ref="AD69" si="290">AD68/AD66</f>
        <v>0.77319303655072114</v>
      </c>
      <c r="AE69" s="132">
        <f t="shared" ref="AE69" si="291">AE68/AE66</f>
        <v>0.77404133145033482</v>
      </c>
      <c r="AF69" s="132">
        <f t="shared" ref="AF69" si="292">AF68/AF66</f>
        <v>0.77477147682293912</v>
      </c>
      <c r="AG69" s="132">
        <f t="shared" ref="AG69" si="293">AG68/AG66</f>
        <v>0.77540251701506724</v>
      </c>
      <c r="AH69" s="132">
        <f t="shared" ref="AH69" si="294">AH68/AH66</f>
        <v>0.77594992465384205</v>
      </c>
      <c r="AI69" s="132">
        <f t="shared" ref="AI69" si="295">AI68/AI66</f>
        <v>0.77642637390700953</v>
      </c>
      <c r="AJ69" s="132">
        <f t="shared" ref="AJ69" si="296">AJ68/AJ66</f>
        <v>0.7768423233741848</v>
      </c>
      <c r="AK69" s="132">
        <f t="shared" ref="AK69" si="297">AK68/AK66</f>
        <v>0.77722600040132117</v>
      </c>
      <c r="AL69" s="132">
        <f t="shared" ref="AL69" si="298">AL68/AL66</f>
        <v>0.77755896953227222</v>
      </c>
      <c r="AM69" s="132">
        <f t="shared" ref="AM69" si="299">AM68/AM66</f>
        <v>0.77784888113931494</v>
      </c>
      <c r="AN69" s="132">
        <f t="shared" ref="AN69" si="300">AN68/AN66</f>
        <v>0.77810205729655946</v>
      </c>
      <c r="AO69" s="132">
        <f t="shared" ref="AO69" si="301">AO68/AO66</f>
        <v>0.77832374676406924</v>
      </c>
      <c r="AP69" s="132">
        <f t="shared" ref="AP69" si="302">AP68/AP66</f>
        <v>0.77851834232553574</v>
      </c>
      <c r="AQ69" s="132">
        <f t="shared" ref="AQ69" si="303">AQ68/AQ66</f>
        <v>0.77868953709796018</v>
      </c>
      <c r="AR69" s="132">
        <f t="shared" ref="AR69" si="304">AR68/AR66</f>
        <v>0.7788404510761624</v>
      </c>
      <c r="AS69" s="132">
        <f t="shared" ref="AS69" si="305">AS68/AS66</f>
        <v>0.77897373173463291</v>
      </c>
      <c r="AT69" s="132">
        <f t="shared" ref="AT69" si="306">AT68/AT66</f>
        <v>0.77909163464483699</v>
      </c>
      <c r="AU69" s="132">
        <f t="shared" ref="AU69" si="307">AU68/AU66</f>
        <v>0.77919608855971845</v>
      </c>
      <c r="AV69" s="132">
        <f t="shared" ref="AV69" si="308">AV68/AV66</f>
        <v>0.7792887483262757</v>
      </c>
      <c r="AW69" s="132">
        <f t="shared" ref="AW69" si="309">AW68/AW66</f>
        <v>0.77934027991421484</v>
      </c>
      <c r="AX69" s="132">
        <f t="shared" ref="AX69" si="310">AX68/AX66</f>
        <v>0.7793880637844175</v>
      </c>
      <c r="AY69" s="132">
        <f t="shared" ref="AY69" si="311">AY68/AY66</f>
        <v>0.7794323733665306</v>
      </c>
      <c r="AZ69" s="132">
        <f t="shared" ref="AZ69" si="312">AZ68/AZ66</f>
        <v>0.77947346208767154</v>
      </c>
      <c r="BA69" s="132">
        <f t="shared" ref="BA69" si="313">BA68/BA66</f>
        <v>0.77951156483895945</v>
      </c>
      <c r="BB69" s="132">
        <f t="shared" ref="BB69" si="314">BB68/BB66</f>
        <v>0.77954689933432519</v>
      </c>
      <c r="BC69" s="132">
        <f t="shared" ref="BC69" si="315">BC68/BC66</f>
        <v>0.77957966736952555</v>
      </c>
      <c r="BD69" s="132">
        <f t="shared" ref="BD69" si="316">BD68/BD66</f>
        <v>0.77961005598870159</v>
      </c>
    </row>
    <row r="71" spans="1:56" x14ac:dyDescent="0.25">
      <c r="A71" s="3" t="s">
        <v>400</v>
      </c>
      <c r="B71" s="131">
        <f>B65</f>
        <v>44228</v>
      </c>
      <c r="C71" s="131">
        <f t="shared" ref="C71:M71" si="317">C65</f>
        <v>44259</v>
      </c>
      <c r="D71" s="131">
        <f t="shared" si="317"/>
        <v>44290</v>
      </c>
      <c r="E71" s="131">
        <f t="shared" si="317"/>
        <v>44321</v>
      </c>
      <c r="F71" s="131">
        <f t="shared" si="317"/>
        <v>44352</v>
      </c>
      <c r="G71" s="131">
        <f t="shared" si="317"/>
        <v>44383</v>
      </c>
      <c r="H71" s="131">
        <f t="shared" si="317"/>
        <v>44414</v>
      </c>
      <c r="I71" s="131">
        <f t="shared" si="317"/>
        <v>44445</v>
      </c>
      <c r="J71" s="131">
        <f t="shared" si="317"/>
        <v>44476</v>
      </c>
      <c r="K71" s="131">
        <f t="shared" si="317"/>
        <v>44507</v>
      </c>
      <c r="L71" s="131">
        <f t="shared" si="317"/>
        <v>44538</v>
      </c>
      <c r="M71" s="131">
        <f t="shared" si="317"/>
        <v>44569</v>
      </c>
      <c r="N71" s="131">
        <f>M71+31</f>
        <v>44600</v>
      </c>
      <c r="O71" s="131">
        <f t="shared" ref="O71:Y71" si="318">N71+31</f>
        <v>44631</v>
      </c>
      <c r="P71" s="131">
        <f t="shared" si="318"/>
        <v>44662</v>
      </c>
      <c r="Q71" s="131">
        <f t="shared" si="318"/>
        <v>44693</v>
      </c>
      <c r="R71" s="131">
        <f t="shared" si="318"/>
        <v>44724</v>
      </c>
      <c r="S71" s="131">
        <f t="shared" si="318"/>
        <v>44755</v>
      </c>
      <c r="T71" s="131">
        <f t="shared" si="318"/>
        <v>44786</v>
      </c>
      <c r="U71" s="131">
        <f t="shared" si="318"/>
        <v>44817</v>
      </c>
      <c r="V71" s="131">
        <f t="shared" si="318"/>
        <v>44848</v>
      </c>
      <c r="W71" s="131">
        <f t="shared" si="318"/>
        <v>44879</v>
      </c>
      <c r="X71" s="131">
        <f t="shared" si="318"/>
        <v>44910</v>
      </c>
      <c r="Y71" s="131">
        <f t="shared" si="318"/>
        <v>44941</v>
      </c>
      <c r="Z71" s="131">
        <f t="shared" ref="Z71:BD71" si="319">Y71+31</f>
        <v>44972</v>
      </c>
      <c r="AA71" s="131">
        <f t="shared" si="319"/>
        <v>45003</v>
      </c>
      <c r="AB71" s="131">
        <f t="shared" si="319"/>
        <v>45034</v>
      </c>
      <c r="AC71" s="131">
        <f t="shared" si="319"/>
        <v>45065</v>
      </c>
      <c r="AD71" s="131">
        <f t="shared" si="319"/>
        <v>45096</v>
      </c>
      <c r="AE71" s="131">
        <f t="shared" si="319"/>
        <v>45127</v>
      </c>
      <c r="AF71" s="131">
        <f t="shared" si="319"/>
        <v>45158</v>
      </c>
      <c r="AG71" s="131">
        <f t="shared" si="319"/>
        <v>45189</v>
      </c>
      <c r="AH71" s="131">
        <f t="shared" si="319"/>
        <v>45220</v>
      </c>
      <c r="AI71" s="131">
        <f t="shared" si="319"/>
        <v>45251</v>
      </c>
      <c r="AJ71" s="131">
        <f t="shared" si="319"/>
        <v>45282</v>
      </c>
      <c r="AK71" s="131">
        <f t="shared" si="319"/>
        <v>45313</v>
      </c>
      <c r="AL71" s="131">
        <f t="shared" si="319"/>
        <v>45344</v>
      </c>
      <c r="AM71" s="131">
        <f t="shared" si="319"/>
        <v>45375</v>
      </c>
      <c r="AN71" s="131">
        <f t="shared" si="319"/>
        <v>45406</v>
      </c>
      <c r="AO71" s="131">
        <f t="shared" si="319"/>
        <v>45437</v>
      </c>
      <c r="AP71" s="131">
        <f t="shared" si="319"/>
        <v>45468</v>
      </c>
      <c r="AQ71" s="131">
        <f t="shared" si="319"/>
        <v>45499</v>
      </c>
      <c r="AR71" s="131">
        <f t="shared" si="319"/>
        <v>45530</v>
      </c>
      <c r="AS71" s="131">
        <f t="shared" si="319"/>
        <v>45561</v>
      </c>
      <c r="AT71" s="131">
        <f t="shared" si="319"/>
        <v>45592</v>
      </c>
      <c r="AU71" s="131">
        <f t="shared" si="319"/>
        <v>45623</v>
      </c>
      <c r="AV71" s="131">
        <f t="shared" si="319"/>
        <v>45654</v>
      </c>
      <c r="AW71" s="131">
        <f t="shared" si="319"/>
        <v>45685</v>
      </c>
      <c r="AX71" s="131">
        <f t="shared" si="319"/>
        <v>45716</v>
      </c>
      <c r="AY71" s="131">
        <f t="shared" si="319"/>
        <v>45747</v>
      </c>
      <c r="AZ71" s="131">
        <f t="shared" si="319"/>
        <v>45778</v>
      </c>
      <c r="BA71" s="131">
        <f t="shared" si="319"/>
        <v>45809</v>
      </c>
      <c r="BB71" s="131">
        <f t="shared" si="319"/>
        <v>45840</v>
      </c>
      <c r="BC71" s="131">
        <f t="shared" si="319"/>
        <v>45871</v>
      </c>
      <c r="BD71" s="131">
        <f t="shared" si="319"/>
        <v>45902</v>
      </c>
    </row>
    <row r="72" spans="1:56" outlineLevel="1" x14ac:dyDescent="0.25">
      <c r="A72" s="18" t="s">
        <v>248</v>
      </c>
      <c r="B72" s="119">
        <f>B67</f>
        <v>20331.666666666668</v>
      </c>
      <c r="C72" s="119">
        <f t="shared" ref="C72:M72" si="320">C67</f>
        <v>20346.666666666668</v>
      </c>
      <c r="D72" s="119">
        <f t="shared" si="320"/>
        <v>20361.891666666666</v>
      </c>
      <c r="E72" s="119">
        <f t="shared" si="320"/>
        <v>20377.345041666667</v>
      </c>
      <c r="F72" s="119">
        <f t="shared" si="320"/>
        <v>20393.030217291667</v>
      </c>
      <c r="G72" s="119">
        <f t="shared" si="320"/>
        <v>20408.950670551043</v>
      </c>
      <c r="H72" s="119">
        <f t="shared" si="320"/>
        <v>10564.44326394264</v>
      </c>
      <c r="I72" s="119">
        <f t="shared" si="320"/>
        <v>10580.844912901779</v>
      </c>
      <c r="J72" s="119">
        <f t="shared" si="320"/>
        <v>37925.47502235719</v>
      </c>
      <c r="K72" s="119">
        <f t="shared" si="320"/>
        <v>41258.494017278608</v>
      </c>
      <c r="L72" s="119">
        <f t="shared" si="320"/>
        <v>45705.27257767391</v>
      </c>
      <c r="M72" s="119">
        <f t="shared" si="320"/>
        <v>53151.042368655129</v>
      </c>
      <c r="N72" s="119">
        <f>M72*1.02</f>
        <v>54214.063216028233</v>
      </c>
      <c r="O72" s="119">
        <f t="shared" ref="O72:Y72" si="321">N72*1.02</f>
        <v>55298.344480348802</v>
      </c>
      <c r="P72" s="119">
        <f t="shared" si="321"/>
        <v>56404.31136995578</v>
      </c>
      <c r="Q72" s="119">
        <f t="shared" si="321"/>
        <v>57532.397597354895</v>
      </c>
      <c r="R72" s="119">
        <f t="shared" si="321"/>
        <v>58683.045549301991</v>
      </c>
      <c r="S72" s="119">
        <f t="shared" si="321"/>
        <v>59856.706460288035</v>
      </c>
      <c r="T72" s="119">
        <f t="shared" si="321"/>
        <v>61053.840589493797</v>
      </c>
      <c r="U72" s="119">
        <f t="shared" si="321"/>
        <v>62274.917401283674</v>
      </c>
      <c r="V72" s="119">
        <f t="shared" si="321"/>
        <v>63520.415749309352</v>
      </c>
      <c r="W72" s="119">
        <f t="shared" si="321"/>
        <v>64790.824064295542</v>
      </c>
      <c r="X72" s="119">
        <f t="shared" si="321"/>
        <v>66086.640545581453</v>
      </c>
      <c r="Y72" s="119">
        <f t="shared" si="321"/>
        <v>67408.373356493088</v>
      </c>
      <c r="Z72" s="119">
        <f t="shared" ref="Z72:BD72" si="322">Y72*1.02</f>
        <v>68756.540823622956</v>
      </c>
      <c r="AA72" s="119">
        <f t="shared" si="322"/>
        <v>70131.671640095417</v>
      </c>
      <c r="AB72" s="119">
        <f t="shared" si="322"/>
        <v>71534.305072897332</v>
      </c>
      <c r="AC72" s="119">
        <f t="shared" si="322"/>
        <v>72964.99117435528</v>
      </c>
      <c r="AD72" s="119">
        <f t="shared" si="322"/>
        <v>74424.290997842385</v>
      </c>
      <c r="AE72" s="119">
        <f t="shared" si="322"/>
        <v>75912.77681779924</v>
      </c>
      <c r="AF72" s="119">
        <f t="shared" si="322"/>
        <v>77431.032354155221</v>
      </c>
      <c r="AG72" s="119">
        <f t="shared" si="322"/>
        <v>78979.65300123833</v>
      </c>
      <c r="AH72" s="119">
        <f t="shared" si="322"/>
        <v>80559.246061263097</v>
      </c>
      <c r="AI72" s="119">
        <f t="shared" si="322"/>
        <v>82170.430982488353</v>
      </c>
      <c r="AJ72" s="119">
        <f t="shared" si="322"/>
        <v>83813.83960213812</v>
      </c>
      <c r="AK72" s="119">
        <f t="shared" si="322"/>
        <v>85490.116394180877</v>
      </c>
      <c r="AL72" s="119">
        <f t="shared" si="322"/>
        <v>87199.918722064496</v>
      </c>
      <c r="AM72" s="119">
        <f t="shared" si="322"/>
        <v>88943.917096505786</v>
      </c>
      <c r="AN72" s="119">
        <f t="shared" si="322"/>
        <v>90722.795438435904</v>
      </c>
      <c r="AO72" s="119">
        <f t="shared" si="322"/>
        <v>92537.251347204627</v>
      </c>
      <c r="AP72" s="119">
        <f t="shared" si="322"/>
        <v>94387.996374148715</v>
      </c>
      <c r="AQ72" s="119">
        <f t="shared" si="322"/>
        <v>96275.756301631685</v>
      </c>
      <c r="AR72" s="119">
        <f t="shared" si="322"/>
        <v>98201.271427664324</v>
      </c>
      <c r="AS72" s="119">
        <f t="shared" si="322"/>
        <v>100165.29685621761</v>
      </c>
      <c r="AT72" s="119">
        <f t="shared" si="322"/>
        <v>102168.60279334197</v>
      </c>
      <c r="AU72" s="119">
        <f t="shared" si="322"/>
        <v>104211.97484920881</v>
      </c>
      <c r="AV72" s="119">
        <f t="shared" si="322"/>
        <v>106296.214346193</v>
      </c>
      <c r="AW72" s="119">
        <f t="shared" si="322"/>
        <v>108422.13863311686</v>
      </c>
      <c r="AX72" s="119">
        <f t="shared" si="322"/>
        <v>110590.5814057792</v>
      </c>
      <c r="AY72" s="119">
        <f t="shared" si="322"/>
        <v>112802.39303389478</v>
      </c>
      <c r="AZ72" s="119">
        <f t="shared" si="322"/>
        <v>115058.44089457268</v>
      </c>
      <c r="BA72" s="119">
        <f t="shared" si="322"/>
        <v>117359.60971246414</v>
      </c>
      <c r="BB72" s="119">
        <f t="shared" si="322"/>
        <v>119706.80190671343</v>
      </c>
      <c r="BC72" s="119">
        <f t="shared" si="322"/>
        <v>122100.9379448477</v>
      </c>
      <c r="BD72" s="119">
        <f t="shared" si="322"/>
        <v>124542.95670374465</v>
      </c>
    </row>
    <row r="73" spans="1:56" outlineLevel="1" x14ac:dyDescent="0.25">
      <c r="A73" s="18" t="s">
        <v>249</v>
      </c>
      <c r="B73" s="119">
        <f>B66</f>
        <v>0</v>
      </c>
      <c r="C73" s="119">
        <f t="shared" ref="C73:M73" si="323">C66</f>
        <v>0</v>
      </c>
      <c r="D73" s="119">
        <f t="shared" si="323"/>
        <v>0</v>
      </c>
      <c r="E73" s="119">
        <f t="shared" si="323"/>
        <v>0</v>
      </c>
      <c r="F73" s="119">
        <f t="shared" si="323"/>
        <v>0</v>
      </c>
      <c r="G73" s="119">
        <f t="shared" si="323"/>
        <v>0</v>
      </c>
      <c r="H73" s="119">
        <f t="shared" si="323"/>
        <v>0</v>
      </c>
      <c r="I73" s="119">
        <f t="shared" si="323"/>
        <v>0</v>
      </c>
      <c r="J73" s="119">
        <f t="shared" si="323"/>
        <v>99086.283798917648</v>
      </c>
      <c r="K73" s="119">
        <f t="shared" si="323"/>
        <v>114159.56382674715</v>
      </c>
      <c r="L73" s="119">
        <f t="shared" si="323"/>
        <v>134294.23523931252</v>
      </c>
      <c r="M73" s="119">
        <f t="shared" si="323"/>
        <v>168059.5155966118</v>
      </c>
      <c r="N73" s="119">
        <f t="shared" ref="N73:BD73" si="324">M73*(1+$B$30)</f>
        <v>201671.41871593415</v>
      </c>
      <c r="O73" s="119">
        <f t="shared" si="324"/>
        <v>242005.70245912098</v>
      </c>
      <c r="P73" s="119">
        <f t="shared" si="324"/>
        <v>290406.84295094514</v>
      </c>
      <c r="Q73" s="119">
        <f t="shared" si="324"/>
        <v>348488.21154113417</v>
      </c>
      <c r="R73" s="119">
        <f t="shared" si="324"/>
        <v>418185.85384936101</v>
      </c>
      <c r="S73" s="119">
        <f t="shared" si="324"/>
        <v>501823.02461923321</v>
      </c>
      <c r="T73" s="119">
        <f t="shared" si="324"/>
        <v>602187.62954307988</v>
      </c>
      <c r="U73" s="119">
        <f t="shared" si="324"/>
        <v>722625.15545169578</v>
      </c>
      <c r="V73" s="119">
        <f t="shared" si="324"/>
        <v>867150.18654203496</v>
      </c>
      <c r="W73" s="119">
        <f t="shared" si="324"/>
        <v>1040580.2238504419</v>
      </c>
      <c r="X73" s="119">
        <f t="shared" si="324"/>
        <v>1248696.2686205301</v>
      </c>
      <c r="Y73" s="119">
        <f t="shared" si="324"/>
        <v>1498435.522344636</v>
      </c>
      <c r="Z73" s="119">
        <f t="shared" si="324"/>
        <v>1798122.6268135633</v>
      </c>
      <c r="AA73" s="119">
        <f t="shared" si="324"/>
        <v>2157747.1521762758</v>
      </c>
      <c r="AB73" s="119">
        <f t="shared" si="324"/>
        <v>2589296.582611531</v>
      </c>
      <c r="AC73" s="119">
        <f t="shared" si="324"/>
        <v>3107155.8991338373</v>
      </c>
      <c r="AD73" s="119">
        <f t="shared" si="324"/>
        <v>3728587.0789606045</v>
      </c>
      <c r="AE73" s="119">
        <f t="shared" si="324"/>
        <v>4474304.4947527256</v>
      </c>
      <c r="AF73" s="119">
        <f t="shared" si="324"/>
        <v>5369165.3937032707</v>
      </c>
      <c r="AG73" s="119">
        <f t="shared" si="324"/>
        <v>6442998.4724439243</v>
      </c>
      <c r="AH73" s="119">
        <f t="shared" si="324"/>
        <v>7731598.1669327086</v>
      </c>
      <c r="AI73" s="119">
        <f t="shared" si="324"/>
        <v>9277917.8003192507</v>
      </c>
      <c r="AJ73" s="119">
        <f t="shared" si="324"/>
        <v>11133501.360383101</v>
      </c>
      <c r="AK73" s="119">
        <f t="shared" si="324"/>
        <v>13360201.632459721</v>
      </c>
      <c r="AL73" s="119">
        <f t="shared" si="324"/>
        <v>16032241.958951663</v>
      </c>
      <c r="AM73" s="119">
        <f t="shared" si="324"/>
        <v>19238690.350741994</v>
      </c>
      <c r="AN73" s="119">
        <f t="shared" si="324"/>
        <v>23086428.420890391</v>
      </c>
      <c r="AO73" s="119">
        <f t="shared" si="324"/>
        <v>27703714.105068468</v>
      </c>
      <c r="AP73" s="119">
        <f t="shared" si="324"/>
        <v>33244456.92608216</v>
      </c>
      <c r="AQ73" s="119">
        <f t="shared" si="324"/>
        <v>39893348.311298594</v>
      </c>
      <c r="AR73" s="119">
        <f t="shared" si="324"/>
        <v>47872017.973558314</v>
      </c>
      <c r="AS73" s="119">
        <f t="shared" si="324"/>
        <v>57446421.568269975</v>
      </c>
      <c r="AT73" s="119">
        <f t="shared" si="324"/>
        <v>68935705.881923974</v>
      </c>
      <c r="AU73" s="119">
        <f t="shared" si="324"/>
        <v>82722847.058308765</v>
      </c>
      <c r="AV73" s="119">
        <f t="shared" si="324"/>
        <v>99267416.469970509</v>
      </c>
      <c r="AW73" s="119">
        <f t="shared" si="324"/>
        <v>119120899.76396461</v>
      </c>
      <c r="AX73" s="119">
        <f t="shared" si="324"/>
        <v>142945079.71675754</v>
      </c>
      <c r="AY73" s="119">
        <f t="shared" si="324"/>
        <v>171534095.66010904</v>
      </c>
      <c r="AZ73" s="119">
        <f t="shared" si="324"/>
        <v>205840914.79213086</v>
      </c>
      <c r="BA73" s="119">
        <f t="shared" si="324"/>
        <v>247009097.75055701</v>
      </c>
      <c r="BB73" s="119">
        <f t="shared" si="324"/>
        <v>296410917.30066842</v>
      </c>
      <c r="BC73" s="119">
        <f t="shared" si="324"/>
        <v>355693100.76080209</v>
      </c>
      <c r="BD73" s="119">
        <f t="shared" si="324"/>
        <v>426831720.9129625</v>
      </c>
    </row>
    <row r="74" spans="1:56" s="2" customFormat="1" outlineLevel="1" x14ac:dyDescent="0.25">
      <c r="A74" s="17" t="s">
        <v>401</v>
      </c>
      <c r="B74" s="121">
        <f>-B72+B73</f>
        <v>-20331.666666666668</v>
      </c>
      <c r="C74" s="121">
        <f t="shared" ref="C74:Y74" si="325">-C72+C73</f>
        <v>-20346.666666666668</v>
      </c>
      <c r="D74" s="121">
        <f t="shared" si="325"/>
        <v>-20361.891666666666</v>
      </c>
      <c r="E74" s="121">
        <f t="shared" si="325"/>
        <v>-20377.345041666667</v>
      </c>
      <c r="F74" s="121">
        <f t="shared" si="325"/>
        <v>-20393.030217291667</v>
      </c>
      <c r="G74" s="121">
        <f t="shared" si="325"/>
        <v>-20408.950670551043</v>
      </c>
      <c r="H74" s="121">
        <f t="shared" si="325"/>
        <v>-10564.44326394264</v>
      </c>
      <c r="I74" s="121">
        <f t="shared" si="325"/>
        <v>-10580.844912901779</v>
      </c>
      <c r="J74" s="121">
        <f t="shared" si="325"/>
        <v>61160.808776560458</v>
      </c>
      <c r="K74" s="121">
        <f t="shared" si="325"/>
        <v>72901.06980946855</v>
      </c>
      <c r="L74" s="121">
        <f t="shared" si="325"/>
        <v>88588.962661638609</v>
      </c>
      <c r="M74" s="121">
        <f t="shared" si="325"/>
        <v>114908.47322795668</v>
      </c>
      <c r="N74" s="121">
        <f t="shared" si="325"/>
        <v>147457.35549990591</v>
      </c>
      <c r="O74" s="121">
        <f t="shared" si="325"/>
        <v>186707.35797877217</v>
      </c>
      <c r="P74" s="121">
        <f t="shared" si="325"/>
        <v>234002.53158098937</v>
      </c>
      <c r="Q74" s="121">
        <f t="shared" si="325"/>
        <v>290955.81394377927</v>
      </c>
      <c r="R74" s="121">
        <f t="shared" si="325"/>
        <v>359502.808300059</v>
      </c>
      <c r="S74" s="121">
        <f t="shared" si="325"/>
        <v>441966.31815894519</v>
      </c>
      <c r="T74" s="121">
        <f t="shared" si="325"/>
        <v>541133.78895358613</v>
      </c>
      <c r="U74" s="121">
        <f t="shared" si="325"/>
        <v>660350.23805041215</v>
      </c>
      <c r="V74" s="121">
        <f t="shared" si="325"/>
        <v>803629.77079272561</v>
      </c>
      <c r="W74" s="121">
        <f t="shared" si="325"/>
        <v>975789.39978614636</v>
      </c>
      <c r="X74" s="121">
        <f t="shared" si="325"/>
        <v>1182609.6280749487</v>
      </c>
      <c r="Y74" s="121">
        <f t="shared" si="325"/>
        <v>1431027.1489881428</v>
      </c>
      <c r="Z74" s="121">
        <f t="shared" ref="Z74" si="326">-Z72+Z73</f>
        <v>1729366.0859899404</v>
      </c>
      <c r="AA74" s="121">
        <f t="shared" ref="AA74" si="327">-AA72+AA73</f>
        <v>2087615.4805361805</v>
      </c>
      <c r="AB74" s="121">
        <f t="shared" ref="AB74" si="328">-AB72+AB73</f>
        <v>2517762.2775386339</v>
      </c>
      <c r="AC74" s="121">
        <f t="shared" ref="AC74" si="329">-AC72+AC73</f>
        <v>3034190.9079594822</v>
      </c>
      <c r="AD74" s="121">
        <f t="shared" ref="AD74" si="330">-AD72+AD73</f>
        <v>3654162.7879627622</v>
      </c>
      <c r="AE74" s="121">
        <f t="shared" ref="AE74" si="331">-AE72+AE73</f>
        <v>4398391.717934926</v>
      </c>
      <c r="AF74" s="121">
        <f t="shared" ref="AF74" si="332">-AF72+AF73</f>
        <v>5291734.3613491151</v>
      </c>
      <c r="AG74" s="121">
        <f t="shared" ref="AG74" si="333">-AG72+AG73</f>
        <v>6364018.8194426857</v>
      </c>
      <c r="AH74" s="121">
        <f t="shared" ref="AH74" si="334">-AH72+AH73</f>
        <v>7651038.9208714459</v>
      </c>
      <c r="AI74" s="121">
        <f t="shared" ref="AI74" si="335">-AI72+AI73</f>
        <v>9195747.3693367615</v>
      </c>
      <c r="AJ74" s="121">
        <f t="shared" ref="AJ74" si="336">-AJ72+AJ73</f>
        <v>11049687.520780962</v>
      </c>
      <c r="AK74" s="121">
        <f t="shared" ref="AK74" si="337">-AK72+AK73</f>
        <v>13274711.51606554</v>
      </c>
      <c r="AL74" s="121">
        <f t="shared" ref="AL74" si="338">-AL72+AL73</f>
        <v>15945042.040229598</v>
      </c>
      <c r="AM74" s="121">
        <f t="shared" ref="AM74" si="339">-AM72+AM73</f>
        <v>19149746.433645487</v>
      </c>
      <c r="AN74" s="121">
        <f t="shared" ref="AN74" si="340">-AN72+AN73</f>
        <v>22995705.625451956</v>
      </c>
      <c r="AO74" s="121">
        <f t="shared" ref="AO74" si="341">-AO72+AO73</f>
        <v>27611176.853721265</v>
      </c>
      <c r="AP74" s="121">
        <f t="shared" ref="AP74" si="342">-AP72+AP73</f>
        <v>33150068.929708011</v>
      </c>
      <c r="AQ74" s="121">
        <f t="shared" ref="AQ74" si="343">-AQ72+AQ73</f>
        <v>39797072.55499696</v>
      </c>
      <c r="AR74" s="121">
        <f t="shared" ref="AR74" si="344">-AR72+AR73</f>
        <v>47773816.702130653</v>
      </c>
      <c r="AS74" s="121">
        <f t="shared" ref="AS74" si="345">-AS72+AS73</f>
        <v>57346256.271413758</v>
      </c>
      <c r="AT74" s="121">
        <f t="shared" ref="AT74" si="346">-AT72+AT73</f>
        <v>68833537.279130638</v>
      </c>
      <c r="AU74" s="121">
        <f t="shared" ref="AU74" si="347">-AU72+AU73</f>
        <v>82618635.083459556</v>
      </c>
      <c r="AV74" s="121">
        <f t="shared" ref="AV74" si="348">-AV72+AV73</f>
        <v>99161120.255624309</v>
      </c>
      <c r="AW74" s="121">
        <f t="shared" ref="AW74" si="349">-AW72+AW73</f>
        <v>119012477.62533149</v>
      </c>
      <c r="AX74" s="121">
        <f t="shared" ref="AX74" si="350">-AX72+AX73</f>
        <v>142834489.13535175</v>
      </c>
      <c r="AY74" s="121">
        <f t="shared" ref="AY74" si="351">-AY72+AY73</f>
        <v>171421293.26707515</v>
      </c>
      <c r="AZ74" s="121">
        <f t="shared" ref="AZ74" si="352">-AZ72+AZ73</f>
        <v>205725856.35123628</v>
      </c>
      <c r="BA74" s="121">
        <f t="shared" ref="BA74" si="353">-BA72+BA73</f>
        <v>246891738.14084455</v>
      </c>
      <c r="BB74" s="121">
        <f t="shared" ref="BB74" si="354">-BB72+BB73</f>
        <v>296291210.49876171</v>
      </c>
      <c r="BC74" s="121">
        <f t="shared" ref="BC74" si="355">-BC72+BC73</f>
        <v>355570999.82285726</v>
      </c>
      <c r="BD74" s="121">
        <f t="shared" ref="BD74" si="356">-BD72+BD73</f>
        <v>426707177.95625877</v>
      </c>
    </row>
    <row r="75" spans="1:56" s="2" customFormat="1" outlineLevel="1" x14ac:dyDescent="0.25">
      <c r="A75" s="17" t="s">
        <v>402</v>
      </c>
      <c r="B75" s="121">
        <f>B74</f>
        <v>-20331.666666666668</v>
      </c>
      <c r="C75" s="121">
        <f>B75+C74</f>
        <v>-40678.333333333336</v>
      </c>
      <c r="D75" s="121">
        <f t="shared" ref="D75:Y75" si="357">C75+D74</f>
        <v>-61040.225000000006</v>
      </c>
      <c r="E75" s="121">
        <f t="shared" si="357"/>
        <v>-81417.57004166668</v>
      </c>
      <c r="F75" s="121">
        <f t="shared" si="357"/>
        <v>-101810.60025895835</v>
      </c>
      <c r="G75" s="121">
        <f t="shared" si="357"/>
        <v>-122219.55092950939</v>
      </c>
      <c r="H75" s="121">
        <f t="shared" si="357"/>
        <v>-132783.99419345203</v>
      </c>
      <c r="I75" s="121">
        <f t="shared" si="357"/>
        <v>-143364.83910635381</v>
      </c>
      <c r="J75" s="121">
        <f t="shared" si="357"/>
        <v>-82204.030329793357</v>
      </c>
      <c r="K75" s="121">
        <f t="shared" si="357"/>
        <v>-9302.9605203248066</v>
      </c>
      <c r="L75" s="121">
        <f t="shared" si="357"/>
        <v>79286.002141313802</v>
      </c>
      <c r="M75" s="121">
        <f t="shared" si="357"/>
        <v>194194.47536927048</v>
      </c>
      <c r="N75" s="121">
        <f t="shared" si="357"/>
        <v>341651.83086917643</v>
      </c>
      <c r="O75" s="121">
        <f t="shared" si="357"/>
        <v>528359.18884794856</v>
      </c>
      <c r="P75" s="121">
        <f t="shared" si="357"/>
        <v>762361.72042893793</v>
      </c>
      <c r="Q75" s="121">
        <f t="shared" si="357"/>
        <v>1053317.5343727171</v>
      </c>
      <c r="R75" s="121">
        <f t="shared" si="357"/>
        <v>1412820.3426727762</v>
      </c>
      <c r="S75" s="121">
        <f t="shared" si="357"/>
        <v>1854786.6608317215</v>
      </c>
      <c r="T75" s="121">
        <f t="shared" si="357"/>
        <v>2395920.4497853075</v>
      </c>
      <c r="U75" s="121">
        <f t="shared" si="357"/>
        <v>3056270.6878357194</v>
      </c>
      <c r="V75" s="121">
        <f t="shared" si="357"/>
        <v>3859900.4586284449</v>
      </c>
      <c r="W75" s="121">
        <f t="shared" si="357"/>
        <v>4835689.8584145913</v>
      </c>
      <c r="X75" s="121">
        <f t="shared" si="357"/>
        <v>6018299.48648954</v>
      </c>
      <c r="Y75" s="121">
        <f t="shared" si="357"/>
        <v>7449326.6354776826</v>
      </c>
      <c r="Z75" s="121">
        <f t="shared" ref="Z75" si="358">Y75+Z74</f>
        <v>9178692.7214676235</v>
      </c>
      <c r="AA75" s="121">
        <f t="shared" ref="AA75" si="359">Z75+AA74</f>
        <v>11266308.202003803</v>
      </c>
      <c r="AB75" s="121">
        <f t="shared" ref="AB75" si="360">AA75+AB74</f>
        <v>13784070.479542438</v>
      </c>
      <c r="AC75" s="121">
        <f t="shared" ref="AC75" si="361">AB75+AC74</f>
        <v>16818261.387501922</v>
      </c>
      <c r="AD75" s="121">
        <f t="shared" ref="AD75" si="362">AC75+AD74</f>
        <v>20472424.175464682</v>
      </c>
      <c r="AE75" s="121">
        <f t="shared" ref="AE75" si="363">AD75+AE74</f>
        <v>24870815.893399607</v>
      </c>
      <c r="AF75" s="121">
        <f t="shared" ref="AF75" si="364">AE75+AF74</f>
        <v>30162550.254748724</v>
      </c>
      <c r="AG75" s="121">
        <f t="shared" ref="AG75" si="365">AF75+AG74</f>
        <v>36526569.074191406</v>
      </c>
      <c r="AH75" s="121">
        <f t="shared" ref="AH75" si="366">AG75+AH74</f>
        <v>44177607.99506285</v>
      </c>
      <c r="AI75" s="121">
        <f t="shared" ref="AI75" si="367">AH75+AI74</f>
        <v>53373355.364399612</v>
      </c>
      <c r="AJ75" s="121">
        <f t="shared" ref="AJ75" si="368">AI75+AJ74</f>
        <v>64423042.885180578</v>
      </c>
      <c r="AK75" s="121">
        <f t="shared" ref="AK75" si="369">AJ75+AK74</f>
        <v>77697754.401246116</v>
      </c>
      <c r="AL75" s="121">
        <f t="shared" ref="AL75" si="370">AK75+AL74</f>
        <v>93642796.441475719</v>
      </c>
      <c r="AM75" s="121">
        <f t="shared" ref="AM75" si="371">AL75+AM74</f>
        <v>112792542.87512121</v>
      </c>
      <c r="AN75" s="121">
        <f t="shared" ref="AN75" si="372">AM75+AN74</f>
        <v>135788248.50057316</v>
      </c>
      <c r="AO75" s="121">
        <f t="shared" ref="AO75" si="373">AN75+AO74</f>
        <v>163399425.35429442</v>
      </c>
      <c r="AP75" s="121">
        <f t="shared" ref="AP75" si="374">AO75+AP74</f>
        <v>196549494.28400242</v>
      </c>
      <c r="AQ75" s="121">
        <f t="shared" ref="AQ75" si="375">AP75+AQ74</f>
        <v>236346566.83899939</v>
      </c>
      <c r="AR75" s="121">
        <f t="shared" ref="AR75" si="376">AQ75+AR74</f>
        <v>284120383.54113007</v>
      </c>
      <c r="AS75" s="121">
        <f t="shared" ref="AS75" si="377">AR75+AS74</f>
        <v>341466639.81254381</v>
      </c>
      <c r="AT75" s="121">
        <f t="shared" ref="AT75" si="378">AS75+AT74</f>
        <v>410300177.09167445</v>
      </c>
      <c r="AU75" s="121">
        <f t="shared" ref="AU75" si="379">AT75+AU74</f>
        <v>492918812.175134</v>
      </c>
      <c r="AV75" s="121">
        <f t="shared" ref="AV75" si="380">AU75+AV74</f>
        <v>592079932.43075836</v>
      </c>
      <c r="AW75" s="121">
        <f t="shared" ref="AW75" si="381">AV75+AW74</f>
        <v>711092410.05608988</v>
      </c>
      <c r="AX75" s="121">
        <f t="shared" ref="AX75" si="382">AW75+AX74</f>
        <v>853926899.19144166</v>
      </c>
      <c r="AY75" s="121">
        <f t="shared" ref="AY75" si="383">AX75+AY74</f>
        <v>1025348192.4585168</v>
      </c>
      <c r="AZ75" s="121">
        <f t="shared" ref="AZ75" si="384">AY75+AZ74</f>
        <v>1231074048.8097532</v>
      </c>
      <c r="BA75" s="121">
        <f t="shared" ref="BA75" si="385">AZ75+BA74</f>
        <v>1477965786.9505978</v>
      </c>
      <c r="BB75" s="121">
        <f t="shared" ref="BB75" si="386">BA75+BB74</f>
        <v>1774256997.4493594</v>
      </c>
      <c r="BC75" s="121">
        <f t="shared" ref="BC75" si="387">BB75+BC74</f>
        <v>2129827997.2722168</v>
      </c>
      <c r="BD75" s="121">
        <f t="shared" ref="BD75" si="388">BC75+BD74</f>
        <v>2556535175.2284756</v>
      </c>
    </row>
    <row r="76" spans="1:56" outlineLevel="1" x14ac:dyDescent="0.25"/>
    <row r="77" spans="1:56" outlineLevel="1" x14ac:dyDescent="0.25">
      <c r="A77" s="17" t="s">
        <v>410</v>
      </c>
      <c r="B77" s="232">
        <f>COUNTIF(B74:Y74,"&lt;=0")</f>
        <v>8</v>
      </c>
    </row>
    <row r="78" spans="1:56" outlineLevel="1" x14ac:dyDescent="0.25">
      <c r="A78" s="17" t="s">
        <v>409</v>
      </c>
      <c r="B78" s="232">
        <f>COUNTIF(B75:Y75,"&lt;=0")</f>
        <v>10</v>
      </c>
    </row>
  </sheetData>
  <dataConsolidate/>
  <mergeCells count="23">
    <mergeCell ref="B13:C13"/>
    <mergeCell ref="I13:J13"/>
    <mergeCell ref="I7:J7"/>
    <mergeCell ref="I8:J8"/>
    <mergeCell ref="I9:J9"/>
    <mergeCell ref="I10:J10"/>
    <mergeCell ref="I11:J11"/>
    <mergeCell ref="I12:J12"/>
    <mergeCell ref="B8:C8"/>
    <mergeCell ref="B9:C9"/>
    <mergeCell ref="B10:C10"/>
    <mergeCell ref="B11:C11"/>
    <mergeCell ref="B12:C12"/>
    <mergeCell ref="I3:J3"/>
    <mergeCell ref="G3:H3"/>
    <mergeCell ref="I4:J4"/>
    <mergeCell ref="I5:J5"/>
    <mergeCell ref="I6:J6"/>
    <mergeCell ref="B3:C3"/>
    <mergeCell ref="B4:C4"/>
    <mergeCell ref="B5:C5"/>
    <mergeCell ref="B6:C6"/>
    <mergeCell ref="B7:C7"/>
  </mergeCells>
  <conditionalFormatting sqref="B69:BD6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:BD7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:BD7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7">
    <cfRule type="colorScale" priority="3">
      <colorScale>
        <cfvo type="min"/>
        <cfvo type="max"/>
        <color rgb="FF63BE7B"/>
        <color rgb="FFFFEF9C"/>
      </colorScale>
    </cfRule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8">
    <cfRule type="colorScale" priority="1">
      <colorScale>
        <cfvo type="min"/>
        <cfvo type="max"/>
        <color rgb="FF63BE7B"/>
        <color rgb="FFFFEF9C"/>
      </colorScale>
    </cfRule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D877C-E02F-1647-B556-22646ED881F0}">
  <sheetPr>
    <tabColor theme="6"/>
  </sheetPr>
  <dimension ref="A1:BD77"/>
  <sheetViews>
    <sheetView showGridLines="0" topLeftCell="A4" zoomScale="150" zoomScaleNormal="90" workbookViewId="0">
      <selection activeCell="E41" sqref="E41"/>
    </sheetView>
  </sheetViews>
  <sheetFormatPr baseColWidth="10" defaultColWidth="9.1640625" defaultRowHeight="16" outlineLevelRow="2" x14ac:dyDescent="0.25"/>
  <cols>
    <col min="1" max="1" width="33" style="1" customWidth="1"/>
    <col min="2" max="5" width="10.33203125" style="1" customWidth="1"/>
    <col min="6" max="6" width="12.83203125" style="1" customWidth="1"/>
    <col min="7" max="25" width="13.5" style="1" bestFit="1" customWidth="1"/>
    <col min="26" max="56" width="14.5" style="1" bestFit="1" customWidth="1"/>
    <col min="57" max="16384" width="9.1640625" style="1"/>
  </cols>
  <sheetData>
    <row r="1" spans="1:14" s="4" customFormat="1" x14ac:dyDescent="0.25">
      <c r="A1" s="25" t="s">
        <v>648</v>
      </c>
    </row>
    <row r="2" spans="1:14" x14ac:dyDescent="0.25">
      <c r="A2" s="30" t="s">
        <v>463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4" s="151" customFormat="1" ht="35" customHeight="1" outlineLevel="1" x14ac:dyDescent="0.25">
      <c r="A3" s="189" t="s">
        <v>363</v>
      </c>
      <c r="B3" s="582" t="s">
        <v>351</v>
      </c>
      <c r="C3" s="582"/>
      <c r="D3" s="190" t="s">
        <v>356</v>
      </c>
      <c r="E3" s="190" t="s">
        <v>352</v>
      </c>
      <c r="F3" s="190" t="s">
        <v>353</v>
      </c>
      <c r="G3" s="583" t="s">
        <v>362</v>
      </c>
      <c r="H3" s="583"/>
      <c r="I3" s="582" t="s">
        <v>351</v>
      </c>
      <c r="J3" s="582"/>
      <c r="K3" s="190" t="s">
        <v>356</v>
      </c>
      <c r="L3" s="190" t="s">
        <v>352</v>
      </c>
      <c r="M3" s="190" t="s">
        <v>353</v>
      </c>
      <c r="N3" s="23"/>
    </row>
    <row r="4" spans="1:14" s="151" customFormat="1" outlineLevel="2" x14ac:dyDescent="0.25">
      <c r="A4" s="104" t="s">
        <v>182</v>
      </c>
      <c r="B4" s="585">
        <v>1</v>
      </c>
      <c r="C4" s="585"/>
      <c r="D4" s="177">
        <v>3</v>
      </c>
      <c r="E4" s="179">
        <f>'Payroll 2020'!E357*7</f>
        <v>280</v>
      </c>
      <c r="F4" s="183">
        <f>E4*D4*B4</f>
        <v>840</v>
      </c>
      <c r="G4" s="153"/>
      <c r="H4" s="153"/>
      <c r="I4" s="586">
        <v>0</v>
      </c>
      <c r="J4" s="586"/>
      <c r="K4" s="186">
        <v>0</v>
      </c>
      <c r="L4" s="179">
        <f>E4</f>
        <v>280</v>
      </c>
      <c r="M4" s="183">
        <f>L4*K4*I4</f>
        <v>0</v>
      </c>
      <c r="N4" s="150"/>
    </row>
    <row r="5" spans="1:14" s="151" customFormat="1" outlineLevel="2" x14ac:dyDescent="0.25">
      <c r="A5" s="104" t="s">
        <v>183</v>
      </c>
      <c r="B5" s="585">
        <v>2</v>
      </c>
      <c r="C5" s="585"/>
      <c r="D5" s="177">
        <v>50</v>
      </c>
      <c r="E5" s="179">
        <f>'Payroll 2020'!E358*7</f>
        <v>196</v>
      </c>
      <c r="F5" s="183">
        <f t="shared" ref="F5:F11" si="0">E5*D5*B5</f>
        <v>19600</v>
      </c>
      <c r="G5" s="153"/>
      <c r="H5" s="153"/>
      <c r="I5" s="586">
        <v>1</v>
      </c>
      <c r="J5" s="586"/>
      <c r="K5" s="186">
        <f>B19/10</f>
        <v>3</v>
      </c>
      <c r="L5" s="179">
        <f t="shared" ref="L5:L11" si="1">E5</f>
        <v>196</v>
      </c>
      <c r="M5" s="183">
        <f t="shared" ref="M5:M11" si="2">L5*K5*I5</f>
        <v>588</v>
      </c>
    </row>
    <row r="6" spans="1:14" s="151" customFormat="1" ht="16" customHeight="1" outlineLevel="2" x14ac:dyDescent="0.25">
      <c r="A6" s="18" t="s">
        <v>184</v>
      </c>
      <c r="B6" s="587">
        <v>1</v>
      </c>
      <c r="C6" s="587"/>
      <c r="D6" s="177">
        <v>20</v>
      </c>
      <c r="E6" s="179">
        <f>'Payroll 2020'!E361*7</f>
        <v>126</v>
      </c>
      <c r="F6" s="183">
        <f t="shared" si="0"/>
        <v>2520</v>
      </c>
      <c r="I6" s="585">
        <v>1</v>
      </c>
      <c r="J6" s="585"/>
      <c r="K6" s="185">
        <f>B19/10</f>
        <v>3</v>
      </c>
      <c r="L6" s="179">
        <f t="shared" si="1"/>
        <v>126</v>
      </c>
      <c r="M6" s="183">
        <f t="shared" si="2"/>
        <v>378</v>
      </c>
    </row>
    <row r="7" spans="1:14" s="151" customFormat="1" ht="16" customHeight="1" outlineLevel="2" x14ac:dyDescent="0.25">
      <c r="A7" s="18" t="s">
        <v>185</v>
      </c>
      <c r="B7" s="584">
        <v>1</v>
      </c>
      <c r="C7" s="584"/>
      <c r="D7" s="184">
        <f>B16</f>
        <v>90</v>
      </c>
      <c r="E7" s="180">
        <f>'Payroll 2020'!E362*7</f>
        <v>161</v>
      </c>
      <c r="F7" s="183">
        <f t="shared" si="0"/>
        <v>14490</v>
      </c>
      <c r="G7" s="150"/>
      <c r="H7" s="150"/>
      <c r="I7" s="585">
        <v>1</v>
      </c>
      <c r="J7" s="585"/>
      <c r="K7" s="185">
        <f>B19</f>
        <v>30</v>
      </c>
      <c r="L7" s="179">
        <f t="shared" si="1"/>
        <v>161</v>
      </c>
      <c r="M7" s="183">
        <f t="shared" si="2"/>
        <v>4830</v>
      </c>
    </row>
    <row r="8" spans="1:14" s="151" customFormat="1" outlineLevel="2" x14ac:dyDescent="0.25">
      <c r="A8" s="18" t="s">
        <v>189</v>
      </c>
      <c r="B8" s="585">
        <v>1</v>
      </c>
      <c r="C8" s="585"/>
      <c r="D8" s="177">
        <v>50</v>
      </c>
      <c r="E8" s="179">
        <f>'Payroll 2020'!E365*7</f>
        <v>210</v>
      </c>
      <c r="F8" s="183">
        <f t="shared" si="0"/>
        <v>10500</v>
      </c>
      <c r="G8" s="153"/>
      <c r="H8" s="153"/>
      <c r="I8" s="586">
        <v>0</v>
      </c>
      <c r="J8" s="586"/>
      <c r="K8" s="186">
        <v>0</v>
      </c>
      <c r="L8" s="179">
        <f t="shared" si="1"/>
        <v>210</v>
      </c>
      <c r="M8" s="183">
        <f t="shared" si="2"/>
        <v>0</v>
      </c>
    </row>
    <row r="9" spans="1:14" s="151" customFormat="1" outlineLevel="2" x14ac:dyDescent="0.25">
      <c r="A9" s="18" t="s">
        <v>190</v>
      </c>
      <c r="B9" s="587">
        <v>1</v>
      </c>
      <c r="C9" s="587"/>
      <c r="D9" s="184">
        <f>B16</f>
        <v>90</v>
      </c>
      <c r="E9" s="179">
        <f>'Payroll 2020'!E366*7</f>
        <v>52.5</v>
      </c>
      <c r="F9" s="183">
        <f t="shared" si="0"/>
        <v>4725</v>
      </c>
      <c r="I9" s="585">
        <v>1</v>
      </c>
      <c r="J9" s="585"/>
      <c r="K9" s="185">
        <f>B19</f>
        <v>30</v>
      </c>
      <c r="L9" s="179">
        <f t="shared" si="1"/>
        <v>52.5</v>
      </c>
      <c r="M9" s="183">
        <f t="shared" si="2"/>
        <v>1575</v>
      </c>
    </row>
    <row r="10" spans="1:14" s="154" customFormat="1" ht="17" customHeight="1" outlineLevel="2" x14ac:dyDescent="0.25">
      <c r="A10" s="18" t="s">
        <v>191</v>
      </c>
      <c r="B10" s="585">
        <v>2</v>
      </c>
      <c r="C10" s="585"/>
      <c r="D10" s="185">
        <f>B16</f>
        <v>90</v>
      </c>
      <c r="E10" s="181">
        <f>'Payroll 2020'!E367*7</f>
        <v>70</v>
      </c>
      <c r="F10" s="183">
        <f t="shared" si="0"/>
        <v>12600</v>
      </c>
      <c r="I10" s="585">
        <v>1</v>
      </c>
      <c r="J10" s="585"/>
      <c r="K10" s="185">
        <f>B19</f>
        <v>30</v>
      </c>
      <c r="L10" s="179">
        <f t="shared" si="1"/>
        <v>70</v>
      </c>
      <c r="M10" s="183">
        <f t="shared" si="2"/>
        <v>2100</v>
      </c>
    </row>
    <row r="11" spans="1:14" s="151" customFormat="1" outlineLevel="2" x14ac:dyDescent="0.25">
      <c r="A11" s="18" t="s">
        <v>350</v>
      </c>
      <c r="B11" s="585">
        <v>2</v>
      </c>
      <c r="C11" s="585"/>
      <c r="D11" s="185">
        <f>B16</f>
        <v>90</v>
      </c>
      <c r="E11" s="182">
        <f>'Payroll 2020'!E377*7</f>
        <v>52.5</v>
      </c>
      <c r="F11" s="183">
        <f t="shared" si="0"/>
        <v>9450</v>
      </c>
      <c r="G11" s="175"/>
      <c r="H11" s="175"/>
      <c r="I11" s="585">
        <v>0</v>
      </c>
      <c r="J11" s="585"/>
      <c r="K11" s="185">
        <v>0</v>
      </c>
      <c r="L11" s="179">
        <f t="shared" si="1"/>
        <v>52.5</v>
      </c>
      <c r="M11" s="183">
        <f t="shared" si="2"/>
        <v>0</v>
      </c>
    </row>
    <row r="12" spans="1:14" s="151" customFormat="1" outlineLevel="2" x14ac:dyDescent="0.25">
      <c r="A12" s="18" t="s">
        <v>194</v>
      </c>
      <c r="B12" s="588">
        <v>0</v>
      </c>
      <c r="C12" s="588"/>
      <c r="D12" s="185">
        <v>0</v>
      </c>
      <c r="E12" s="179">
        <f>'Payroll 2020'!E371*7</f>
        <v>175</v>
      </c>
      <c r="F12" s="183">
        <f>E12*D12*B12</f>
        <v>0</v>
      </c>
      <c r="H12" s="156"/>
      <c r="I12" s="586">
        <v>0</v>
      </c>
      <c r="J12" s="586"/>
      <c r="K12" s="185">
        <v>0</v>
      </c>
      <c r="L12" s="179">
        <f>E12</f>
        <v>175</v>
      </c>
      <c r="M12" s="183">
        <f>L12*K12*I12</f>
        <v>0</v>
      </c>
    </row>
    <row r="13" spans="1:14" s="151" customFormat="1" outlineLevel="1" x14ac:dyDescent="0.25">
      <c r="A13" s="17" t="s">
        <v>361</v>
      </c>
      <c r="B13" s="589">
        <f>SUM(B4:C12)</f>
        <v>11</v>
      </c>
      <c r="C13" s="589"/>
      <c r="D13" s="187">
        <f>SUM(D4:D12)</f>
        <v>483</v>
      </c>
      <c r="E13" s="178"/>
      <c r="F13" s="188">
        <f>SUM(F4:F12)</f>
        <v>74725</v>
      </c>
      <c r="H13" s="156"/>
      <c r="I13" s="589">
        <f>SUM(I4:J12)</f>
        <v>5</v>
      </c>
      <c r="J13" s="589"/>
      <c r="K13" s="187">
        <f>SUM(K4:K12)</f>
        <v>96</v>
      </c>
      <c r="L13" s="178"/>
      <c r="M13" s="188">
        <f>SUM(M4:M12)</f>
        <v>9471</v>
      </c>
    </row>
    <row r="14" spans="1:14" s="151" customFormat="1" outlineLevel="1" x14ac:dyDescent="0.25">
      <c r="B14" s="155"/>
      <c r="E14" s="150"/>
      <c r="H14" s="156"/>
      <c r="I14" s="153"/>
      <c r="J14" s="153"/>
    </row>
    <row r="15" spans="1:14" s="151" customFormat="1" outlineLevel="1" x14ac:dyDescent="0.25">
      <c r="A15" s="150" t="s">
        <v>354</v>
      </c>
      <c r="B15" s="176">
        <v>44593</v>
      </c>
      <c r="E15" s="150"/>
      <c r="F15" s="150" t="s">
        <v>55</v>
      </c>
      <c r="H15" s="156"/>
      <c r="I15" s="153"/>
      <c r="J15" s="153"/>
    </row>
    <row r="16" spans="1:14" s="151" customFormat="1" outlineLevel="1" x14ac:dyDescent="0.25">
      <c r="A16" s="151" t="s">
        <v>356</v>
      </c>
      <c r="B16" s="173">
        <v>90</v>
      </c>
      <c r="C16" s="151">
        <f>ROUND(B16/31,0)</f>
        <v>3</v>
      </c>
      <c r="D16" s="151" t="s">
        <v>236</v>
      </c>
      <c r="F16" s="151" t="s">
        <v>366</v>
      </c>
      <c r="I16" s="183">
        <v>2000</v>
      </c>
      <c r="J16" s="151" t="s">
        <v>257</v>
      </c>
    </row>
    <row r="17" spans="1:14" s="151" customFormat="1" outlineLevel="1" x14ac:dyDescent="0.25">
      <c r="A17" s="151" t="s">
        <v>355</v>
      </c>
      <c r="B17" s="176">
        <f>B15+B16</f>
        <v>44683</v>
      </c>
      <c r="E17" s="150"/>
      <c r="F17" s="151" t="s">
        <v>256</v>
      </c>
      <c r="H17" s="156"/>
      <c r="I17" s="192">
        <v>1.4999999999999999E-2</v>
      </c>
      <c r="J17" s="151" t="s">
        <v>257</v>
      </c>
    </row>
    <row r="18" spans="1:14" s="151" customFormat="1" outlineLevel="1" x14ac:dyDescent="0.25">
      <c r="A18" s="150" t="s">
        <v>357</v>
      </c>
      <c r="B18" s="176">
        <f>B17+1</f>
        <v>44684</v>
      </c>
      <c r="F18" s="151" t="s">
        <v>365</v>
      </c>
      <c r="I18" s="193">
        <v>0.02</v>
      </c>
      <c r="J18" s="151" t="s">
        <v>257</v>
      </c>
    </row>
    <row r="19" spans="1:14" s="151" customFormat="1" outlineLevel="1" x14ac:dyDescent="0.25">
      <c r="A19" s="151" t="s">
        <v>356</v>
      </c>
      <c r="B19" s="173">
        <v>30</v>
      </c>
      <c r="C19" s="151">
        <f>ROUND(B19/31,0)</f>
        <v>1</v>
      </c>
      <c r="D19" s="151" t="s">
        <v>236</v>
      </c>
      <c r="F19" s="150" t="s">
        <v>469</v>
      </c>
      <c r="I19" s="176">
        <f>B20+1</f>
        <v>44715</v>
      </c>
    </row>
    <row r="20" spans="1:14" s="151" customFormat="1" outlineLevel="1" x14ac:dyDescent="0.25">
      <c r="A20" s="151" t="s">
        <v>358</v>
      </c>
      <c r="B20" s="176">
        <f>B18+B19</f>
        <v>44714</v>
      </c>
      <c r="F20" s="151" t="s">
        <v>468</v>
      </c>
      <c r="I20" s="183">
        <v>10000</v>
      </c>
      <c r="J20" s="151" t="s">
        <v>257</v>
      </c>
    </row>
    <row r="21" spans="1:14" s="151" customFormat="1" outlineLevel="1" x14ac:dyDescent="0.25">
      <c r="B21" s="176"/>
    </row>
    <row r="22" spans="1:14" x14ac:dyDescent="0.25">
      <c r="A22" s="30" t="s">
        <v>377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</row>
    <row r="23" spans="1:14" s="151" customFormat="1" outlineLevel="1" x14ac:dyDescent="0.25">
      <c r="A23" s="151" t="s">
        <v>426</v>
      </c>
      <c r="B23" s="290">
        <v>1E-4</v>
      </c>
      <c r="F23" s="150" t="s">
        <v>427</v>
      </c>
    </row>
    <row r="24" spans="1:14" s="151" customFormat="1" outlineLevel="1" x14ac:dyDescent="0.25">
      <c r="A24" s="151" t="s">
        <v>256</v>
      </c>
      <c r="B24" s="192">
        <v>0.02</v>
      </c>
      <c r="F24" s="151" t="s">
        <v>430</v>
      </c>
      <c r="I24" s="183">
        <v>300</v>
      </c>
      <c r="J24" s="151" t="s">
        <v>257</v>
      </c>
    </row>
    <row r="25" spans="1:14" s="151" customFormat="1" outlineLevel="1" x14ac:dyDescent="0.25">
      <c r="B25" s="192"/>
      <c r="F25" s="151" t="s">
        <v>431</v>
      </c>
      <c r="I25" s="183">
        <v>1500</v>
      </c>
      <c r="J25" s="151" t="s">
        <v>257</v>
      </c>
    </row>
    <row r="26" spans="1:14" s="151" customFormat="1" outlineLevel="1" x14ac:dyDescent="0.25">
      <c r="A26" s="151" t="s">
        <v>396</v>
      </c>
      <c r="B26" s="193">
        <v>0.08</v>
      </c>
      <c r="C26" s="151" t="s">
        <v>428</v>
      </c>
      <c r="F26" s="151" t="s">
        <v>432</v>
      </c>
      <c r="I26" s="183">
        <v>10000</v>
      </c>
      <c r="J26" s="151" t="s">
        <v>257</v>
      </c>
    </row>
    <row r="27" spans="1:14" s="151" customFormat="1" outlineLevel="1" x14ac:dyDescent="0.25">
      <c r="A27" s="151" t="s">
        <v>399</v>
      </c>
      <c r="B27" s="193">
        <v>0.02</v>
      </c>
    </row>
    <row r="28" spans="1:14" s="151" customFormat="1" outlineLevel="1" x14ac:dyDescent="0.25">
      <c r="F28" s="150" t="s">
        <v>433</v>
      </c>
    </row>
    <row r="29" spans="1:14" s="151" customFormat="1" outlineLevel="1" x14ac:dyDescent="0.25">
      <c r="F29" s="151" t="str">
        <f>F24</f>
        <v>Small shops</v>
      </c>
      <c r="I29" s="153">
        <v>0.7</v>
      </c>
    </row>
    <row r="30" spans="1:14" s="151" customFormat="1" outlineLevel="1" x14ac:dyDescent="0.25">
      <c r="F30" s="151" t="str">
        <f>F25</f>
        <v>Medium shops</v>
      </c>
      <c r="I30" s="153">
        <v>0.25</v>
      </c>
    </row>
    <row r="31" spans="1:14" s="151" customFormat="1" outlineLevel="1" x14ac:dyDescent="0.25">
      <c r="F31" s="151" t="str">
        <f>F26</f>
        <v>Large shops</v>
      </c>
      <c r="I31" s="153">
        <v>0.05</v>
      </c>
    </row>
    <row r="32" spans="1:14" s="151" customFormat="1" outlineLevel="1" x14ac:dyDescent="0.25">
      <c r="I32" s="153"/>
    </row>
    <row r="33" spans="1:56" s="151" customFormat="1" x14ac:dyDescent="0.25">
      <c r="A33" s="27" t="s">
        <v>429</v>
      </c>
      <c r="B33" s="76">
        <f>B38</f>
        <v>44593</v>
      </c>
      <c r="C33" s="76">
        <f t="shared" ref="C33:BD33" si="3">C38</f>
        <v>44624</v>
      </c>
      <c r="D33" s="76">
        <f t="shared" si="3"/>
        <v>44655</v>
      </c>
      <c r="E33" s="76">
        <f t="shared" si="3"/>
        <v>44686</v>
      </c>
      <c r="F33" s="76">
        <f t="shared" si="3"/>
        <v>44717</v>
      </c>
      <c r="G33" s="76">
        <f t="shared" si="3"/>
        <v>44748</v>
      </c>
      <c r="H33" s="76">
        <f t="shared" si="3"/>
        <v>44779</v>
      </c>
      <c r="I33" s="76">
        <f t="shared" si="3"/>
        <v>44810</v>
      </c>
      <c r="J33" s="76">
        <f t="shared" si="3"/>
        <v>44841</v>
      </c>
      <c r="K33" s="76">
        <f t="shared" si="3"/>
        <v>44872</v>
      </c>
      <c r="L33" s="76">
        <f t="shared" si="3"/>
        <v>44903</v>
      </c>
      <c r="M33" s="76">
        <f t="shared" si="3"/>
        <v>44934</v>
      </c>
      <c r="N33" s="76">
        <f t="shared" si="3"/>
        <v>44965</v>
      </c>
      <c r="O33" s="76">
        <f t="shared" si="3"/>
        <v>44996</v>
      </c>
      <c r="P33" s="76">
        <f t="shared" si="3"/>
        <v>45027</v>
      </c>
      <c r="Q33" s="76">
        <f t="shared" si="3"/>
        <v>45058</v>
      </c>
      <c r="R33" s="76">
        <f t="shared" si="3"/>
        <v>45089</v>
      </c>
      <c r="S33" s="76">
        <f t="shared" si="3"/>
        <v>45120</v>
      </c>
      <c r="T33" s="76">
        <f t="shared" si="3"/>
        <v>45151</v>
      </c>
      <c r="U33" s="76">
        <f t="shared" si="3"/>
        <v>45182</v>
      </c>
      <c r="V33" s="76">
        <f t="shared" si="3"/>
        <v>45213</v>
      </c>
      <c r="W33" s="76">
        <f t="shared" si="3"/>
        <v>45244</v>
      </c>
      <c r="X33" s="76">
        <f t="shared" si="3"/>
        <v>45275</v>
      </c>
      <c r="Y33" s="76">
        <f t="shared" si="3"/>
        <v>45306</v>
      </c>
      <c r="Z33" s="76">
        <f t="shared" si="3"/>
        <v>45337</v>
      </c>
      <c r="AA33" s="76">
        <f t="shared" si="3"/>
        <v>45368</v>
      </c>
      <c r="AB33" s="76">
        <f t="shared" si="3"/>
        <v>45399</v>
      </c>
      <c r="AC33" s="76">
        <f t="shared" si="3"/>
        <v>45430</v>
      </c>
      <c r="AD33" s="76">
        <f t="shared" si="3"/>
        <v>45461</v>
      </c>
      <c r="AE33" s="76">
        <f t="shared" si="3"/>
        <v>45492</v>
      </c>
      <c r="AF33" s="76">
        <f t="shared" si="3"/>
        <v>45523</v>
      </c>
      <c r="AG33" s="76">
        <f t="shared" si="3"/>
        <v>45554</v>
      </c>
      <c r="AH33" s="76">
        <f t="shared" si="3"/>
        <v>45585</v>
      </c>
      <c r="AI33" s="76">
        <f t="shared" si="3"/>
        <v>45616</v>
      </c>
      <c r="AJ33" s="76">
        <f t="shared" si="3"/>
        <v>45647</v>
      </c>
      <c r="AK33" s="76">
        <f t="shared" si="3"/>
        <v>45678</v>
      </c>
      <c r="AL33" s="76">
        <f t="shared" si="3"/>
        <v>45709</v>
      </c>
      <c r="AM33" s="76">
        <f t="shared" si="3"/>
        <v>45740</v>
      </c>
      <c r="AN33" s="76">
        <f t="shared" si="3"/>
        <v>45771</v>
      </c>
      <c r="AO33" s="76">
        <f t="shared" si="3"/>
        <v>45802</v>
      </c>
      <c r="AP33" s="76">
        <f t="shared" si="3"/>
        <v>45833</v>
      </c>
      <c r="AQ33" s="76">
        <f t="shared" si="3"/>
        <v>45864</v>
      </c>
      <c r="AR33" s="76">
        <f t="shared" si="3"/>
        <v>45895</v>
      </c>
      <c r="AS33" s="76">
        <f t="shared" si="3"/>
        <v>45926</v>
      </c>
      <c r="AT33" s="76">
        <f t="shared" si="3"/>
        <v>45957</v>
      </c>
      <c r="AU33" s="76">
        <f t="shared" si="3"/>
        <v>45988</v>
      </c>
      <c r="AV33" s="76">
        <f t="shared" si="3"/>
        <v>46019</v>
      </c>
      <c r="AW33" s="76">
        <f t="shared" si="3"/>
        <v>46050</v>
      </c>
      <c r="AX33" s="76">
        <f t="shared" si="3"/>
        <v>46081</v>
      </c>
      <c r="AY33" s="76">
        <f t="shared" si="3"/>
        <v>46112</v>
      </c>
      <c r="AZ33" s="76">
        <f t="shared" si="3"/>
        <v>46143</v>
      </c>
      <c r="BA33" s="76">
        <f t="shared" si="3"/>
        <v>46174</v>
      </c>
      <c r="BB33" s="76">
        <f t="shared" si="3"/>
        <v>46205</v>
      </c>
      <c r="BC33" s="76">
        <f t="shared" si="3"/>
        <v>46236</v>
      </c>
      <c r="BD33" s="76">
        <f t="shared" si="3"/>
        <v>46267</v>
      </c>
    </row>
    <row r="34" spans="1:56" s="151" customFormat="1" outlineLevel="1" x14ac:dyDescent="0.25">
      <c r="A34" s="151" t="s">
        <v>426</v>
      </c>
      <c r="B34" s="233">
        <f>IF(SUM(B56:B57)&gt;0,0,$B$23)</f>
        <v>0</v>
      </c>
      <c r="C34" s="233">
        <f>IF(SUM(C56:C57)&gt;0,0,$B$23)</f>
        <v>0</v>
      </c>
      <c r="D34" s="233">
        <f>IF(SUM(D56:D57)&gt;0,0,$B$23)</f>
        <v>0</v>
      </c>
      <c r="E34" s="233">
        <f>IF(SUM(E56:E57)&gt;0,0,$B$23)</f>
        <v>0</v>
      </c>
      <c r="F34" s="233">
        <f>IF(SUM(F56:F57)&gt;0,0,$B$23)</f>
        <v>1E-4</v>
      </c>
      <c r="G34" s="233">
        <f>IF(SUM(G56:G57)&gt;0,0,F36)</f>
        <v>1.02E-4</v>
      </c>
      <c r="H34" s="233">
        <f>IF(SUM(H56:H57)&gt;0,0,B23)</f>
        <v>1E-4</v>
      </c>
      <c r="I34" s="233">
        <f>IF(SUM(I56:I57)&gt;0,0,H36)</f>
        <v>1.0604000000000001E-4</v>
      </c>
      <c r="J34" s="233">
        <f t="shared" ref="J34:L34" si="4">IF(SUM(J56:J57)&gt;0,0,I36)</f>
        <v>1.1420080000000001E-4</v>
      </c>
      <c r="K34" s="233">
        <f t="shared" si="4"/>
        <v>1.2464561600000003E-4</v>
      </c>
      <c r="L34" s="233">
        <f t="shared" si="4"/>
        <v>1.3758334432000004E-4</v>
      </c>
      <c r="M34" s="233">
        <f>IF(SUM(M56:M57)&gt;0,0,L36)</f>
        <v>1.5327273952640006E-4</v>
      </c>
      <c r="N34" s="233">
        <f>M36</f>
        <v>1.7202758952332805E-4</v>
      </c>
      <c r="O34" s="233">
        <f t="shared" ref="O34:BD34" si="5">N36</f>
        <v>1.7546814131379462E-4</v>
      </c>
      <c r="P34" s="233">
        <f t="shared" si="5"/>
        <v>1.7897750414007051E-4</v>
      </c>
      <c r="Q34" s="233">
        <f t="shared" si="5"/>
        <v>1.8255705422287193E-4</v>
      </c>
      <c r="R34" s="233">
        <f t="shared" si="5"/>
        <v>1.8620819530732935E-4</v>
      </c>
      <c r="S34" s="233">
        <f t="shared" si="5"/>
        <v>1.8993235921347594E-4</v>
      </c>
      <c r="T34" s="233">
        <f t="shared" si="5"/>
        <v>1.9373100639774544E-4</v>
      </c>
      <c r="U34" s="233">
        <f t="shared" si="5"/>
        <v>1.9760562652570036E-4</v>
      </c>
      <c r="V34" s="233">
        <f t="shared" si="5"/>
        <v>2.0155773905621436E-4</v>
      </c>
      <c r="W34" s="233">
        <f t="shared" si="5"/>
        <v>2.0558889383733866E-4</v>
      </c>
      <c r="X34" s="233">
        <f t="shared" si="5"/>
        <v>2.0970067171408542E-4</v>
      </c>
      <c r="Y34" s="233">
        <f t="shared" si="5"/>
        <v>2.1389468514836714E-4</v>
      </c>
      <c r="Z34" s="233">
        <f t="shared" si="5"/>
        <v>2.1817257885133447E-4</v>
      </c>
      <c r="AA34" s="233">
        <f t="shared" si="5"/>
        <v>2.2253603042836115E-4</v>
      </c>
      <c r="AB34" s="233">
        <f t="shared" si="5"/>
        <v>2.2698675103692838E-4</v>
      </c>
      <c r="AC34" s="233">
        <f t="shared" si="5"/>
        <v>2.3152648605766695E-4</v>
      </c>
      <c r="AD34" s="233">
        <f t="shared" si="5"/>
        <v>2.361570157788203E-4</v>
      </c>
      <c r="AE34" s="233">
        <f t="shared" si="5"/>
        <v>2.408801560943967E-4</v>
      </c>
      <c r="AF34" s="233">
        <f t="shared" si="5"/>
        <v>2.4569775921628464E-4</v>
      </c>
      <c r="AG34" s="233">
        <f t="shared" si="5"/>
        <v>2.5061171440061031E-4</v>
      </c>
      <c r="AH34" s="233">
        <f t="shared" si="5"/>
        <v>2.5562394868862252E-4</v>
      </c>
      <c r="AI34" s="233">
        <f t="shared" si="5"/>
        <v>2.6073642766239499E-4</v>
      </c>
      <c r="AJ34" s="233">
        <f t="shared" si="5"/>
        <v>2.6595115621564291E-4</v>
      </c>
      <c r="AK34" s="233">
        <f t="shared" si="5"/>
        <v>2.7127017933995575E-4</v>
      </c>
      <c r="AL34" s="233">
        <f t="shared" si="5"/>
        <v>2.7669558292675486E-4</v>
      </c>
      <c r="AM34" s="233">
        <f t="shared" si="5"/>
        <v>2.8222949458528998E-4</v>
      </c>
      <c r="AN34" s="233">
        <f t="shared" si="5"/>
        <v>2.8787408447699579E-4</v>
      </c>
      <c r="AO34" s="233">
        <f t="shared" si="5"/>
        <v>2.9363156616653573E-4</v>
      </c>
      <c r="AP34" s="233">
        <f t="shared" si="5"/>
        <v>2.9950419748986644E-4</v>
      </c>
      <c r="AQ34" s="233">
        <f t="shared" si="5"/>
        <v>3.054942814396638E-4</v>
      </c>
      <c r="AR34" s="233">
        <f t="shared" si="5"/>
        <v>3.116041670684571E-4</v>
      </c>
      <c r="AS34" s="233">
        <f t="shared" si="5"/>
        <v>3.1783625040982623E-4</v>
      </c>
      <c r="AT34" s="233">
        <f t="shared" si="5"/>
        <v>3.2419297541802278E-4</v>
      </c>
      <c r="AU34" s="233">
        <f t="shared" si="5"/>
        <v>3.3067683492638326E-4</v>
      </c>
      <c r="AV34" s="233">
        <f t="shared" si="5"/>
        <v>3.3729037162491093E-4</v>
      </c>
      <c r="AW34" s="233">
        <f t="shared" si="5"/>
        <v>3.4403617905740913E-4</v>
      </c>
      <c r="AX34" s="233">
        <f t="shared" si="5"/>
        <v>3.5091690263855732E-4</v>
      </c>
      <c r="AY34" s="233">
        <f t="shared" si="5"/>
        <v>3.5793524069132845E-4</v>
      </c>
      <c r="AZ34" s="233">
        <f t="shared" si="5"/>
        <v>3.65093945505155E-4</v>
      </c>
      <c r="BA34" s="233">
        <f t="shared" si="5"/>
        <v>3.7239582441525809E-4</v>
      </c>
      <c r="BB34" s="233">
        <f t="shared" si="5"/>
        <v>3.7984374090356326E-4</v>
      </c>
      <c r="BC34" s="233">
        <f t="shared" si="5"/>
        <v>3.874406157216345E-4</v>
      </c>
      <c r="BD34" s="233">
        <f t="shared" si="5"/>
        <v>3.951894280360672E-4</v>
      </c>
    </row>
    <row r="35" spans="1:56" s="151" customFormat="1" outlineLevel="1" x14ac:dyDescent="0.25">
      <c r="A35" s="151" t="s">
        <v>412</v>
      </c>
      <c r="B35" s="233">
        <f>IF(B34=0%,0,B34)</f>
        <v>0</v>
      </c>
      <c r="C35" s="233">
        <f>IF(C34=0%,0,B35+(C34*$B$24))</f>
        <v>0</v>
      </c>
      <c r="D35" s="233">
        <f t="shared" ref="C35:I35" si="6">IF(D34=0%,0,C35+(D34*$B$24))</f>
        <v>0</v>
      </c>
      <c r="E35" s="233">
        <f t="shared" si="6"/>
        <v>0</v>
      </c>
      <c r="F35" s="233">
        <f t="shared" si="6"/>
        <v>2.0000000000000003E-6</v>
      </c>
      <c r="G35" s="233">
        <f t="shared" si="6"/>
        <v>4.0400000000000003E-6</v>
      </c>
      <c r="H35" s="233">
        <f t="shared" si="6"/>
        <v>6.0400000000000006E-6</v>
      </c>
      <c r="I35" s="234">
        <f t="shared" si="6"/>
        <v>8.1608000000000016E-6</v>
      </c>
      <c r="J35" s="234">
        <f t="shared" ref="J35:L35" si="7">IF(J34=0%,0,I35+(J34*$B$24))</f>
        <v>1.0444816000000002E-5</v>
      </c>
      <c r="K35" s="234">
        <f t="shared" si="7"/>
        <v>1.2937728320000003E-5</v>
      </c>
      <c r="L35" s="234">
        <f t="shared" si="7"/>
        <v>1.5689395206400004E-5</v>
      </c>
      <c r="M35" s="233">
        <f>IF(M34=0%,0,L35+(M34*$B$24))</f>
        <v>1.8754849996928003E-5</v>
      </c>
      <c r="N35" s="233">
        <f>N34*$B$24</f>
        <v>3.440551790466561E-6</v>
      </c>
      <c r="O35" s="233">
        <f t="shared" ref="O35:BD35" si="8">O34*$B$24</f>
        <v>3.5093628262758925E-6</v>
      </c>
      <c r="P35" s="233">
        <f t="shared" si="8"/>
        <v>3.5795500828014105E-6</v>
      </c>
      <c r="Q35" s="233">
        <f t="shared" si="8"/>
        <v>3.6511410844574385E-6</v>
      </c>
      <c r="R35" s="233">
        <f t="shared" si="8"/>
        <v>3.7241639061465871E-6</v>
      </c>
      <c r="S35" s="233">
        <f t="shared" si="8"/>
        <v>3.7986471842695187E-6</v>
      </c>
      <c r="T35" s="233">
        <f t="shared" si="8"/>
        <v>3.8746201279549094E-6</v>
      </c>
      <c r="U35" s="233">
        <f t="shared" si="8"/>
        <v>3.9521125305140069E-6</v>
      </c>
      <c r="V35" s="233">
        <f t="shared" si="8"/>
        <v>4.0311547811242875E-6</v>
      </c>
      <c r="W35" s="233">
        <f t="shared" si="8"/>
        <v>4.111777876746773E-6</v>
      </c>
      <c r="X35" s="233">
        <f t="shared" si="8"/>
        <v>4.194013434281709E-6</v>
      </c>
      <c r="Y35" s="233">
        <f t="shared" si="8"/>
        <v>4.2778937029673425E-6</v>
      </c>
      <c r="Z35" s="233">
        <f t="shared" si="8"/>
        <v>4.3634515770266898E-6</v>
      </c>
      <c r="AA35" s="233">
        <f t="shared" si="8"/>
        <v>4.450720608567223E-6</v>
      </c>
      <c r="AB35" s="233">
        <f t="shared" si="8"/>
        <v>4.5397350207385673E-6</v>
      </c>
      <c r="AC35" s="233">
        <f t="shared" si="8"/>
        <v>4.6305297211533389E-6</v>
      </c>
      <c r="AD35" s="233">
        <f t="shared" si="8"/>
        <v>4.7231403155764063E-6</v>
      </c>
      <c r="AE35" s="233">
        <f t="shared" si="8"/>
        <v>4.8176031218879337E-6</v>
      </c>
      <c r="AF35" s="233">
        <f t="shared" si="8"/>
        <v>4.9139551843256926E-6</v>
      </c>
      <c r="AG35" s="233">
        <f t="shared" si="8"/>
        <v>5.0122342880122065E-6</v>
      </c>
      <c r="AH35" s="233">
        <f t="shared" si="8"/>
        <v>5.1124789737724505E-6</v>
      </c>
      <c r="AI35" s="233">
        <f t="shared" si="8"/>
        <v>5.2147285532479002E-6</v>
      </c>
      <c r="AJ35" s="233">
        <f t="shared" si="8"/>
        <v>5.3190231243128582E-6</v>
      </c>
      <c r="AK35" s="233">
        <f t="shared" si="8"/>
        <v>5.4254035867991153E-6</v>
      </c>
      <c r="AL35" s="233">
        <f t="shared" si="8"/>
        <v>5.5339116585350972E-6</v>
      </c>
      <c r="AM35" s="233">
        <f t="shared" si="8"/>
        <v>5.6445898917057995E-6</v>
      </c>
      <c r="AN35" s="233">
        <f t="shared" si="8"/>
        <v>5.7574816895399161E-6</v>
      </c>
      <c r="AO35" s="233">
        <f t="shared" si="8"/>
        <v>5.8726313233307144E-6</v>
      </c>
      <c r="AP35" s="233">
        <f t="shared" si="8"/>
        <v>5.9900839497973288E-6</v>
      </c>
      <c r="AQ35" s="233">
        <f t="shared" si="8"/>
        <v>6.1098856287932757E-6</v>
      </c>
      <c r="AR35" s="233">
        <f t="shared" si="8"/>
        <v>6.2320833413691425E-6</v>
      </c>
      <c r="AS35" s="233">
        <f t="shared" si="8"/>
        <v>6.3567250081965249E-6</v>
      </c>
      <c r="AT35" s="233">
        <f t="shared" si="8"/>
        <v>6.4838595083604557E-6</v>
      </c>
      <c r="AU35" s="233">
        <f t="shared" si="8"/>
        <v>6.6135366985276653E-6</v>
      </c>
      <c r="AV35" s="233">
        <f t="shared" si="8"/>
        <v>6.7458074324982186E-6</v>
      </c>
      <c r="AW35" s="233">
        <f t="shared" si="8"/>
        <v>6.8807235811481824E-6</v>
      </c>
      <c r="AX35" s="233">
        <f t="shared" si="8"/>
        <v>7.0183380527711462E-6</v>
      </c>
      <c r="AY35" s="233">
        <f t="shared" si="8"/>
        <v>7.1587048138265688E-6</v>
      </c>
      <c r="AZ35" s="233">
        <f t="shared" si="8"/>
        <v>7.3018789101031003E-6</v>
      </c>
      <c r="BA35" s="233">
        <f t="shared" si="8"/>
        <v>7.4479164883051622E-6</v>
      </c>
      <c r="BB35" s="233">
        <f t="shared" si="8"/>
        <v>7.5968748180712651E-6</v>
      </c>
      <c r="BC35" s="233">
        <f t="shared" si="8"/>
        <v>7.7488123144326897E-6</v>
      </c>
      <c r="BD35" s="233">
        <f t="shared" si="8"/>
        <v>7.9037885607213447E-6</v>
      </c>
    </row>
    <row r="36" spans="1:56" s="151" customFormat="1" outlineLevel="1" x14ac:dyDescent="0.25">
      <c r="A36" s="151" t="s">
        <v>426</v>
      </c>
      <c r="B36" s="233">
        <f t="shared" ref="B36:AG36" si="9">B34+B35</f>
        <v>0</v>
      </c>
      <c r="C36" s="233">
        <f t="shared" si="9"/>
        <v>0</v>
      </c>
      <c r="D36" s="233">
        <f t="shared" si="9"/>
        <v>0</v>
      </c>
      <c r="E36" s="233">
        <f t="shared" si="9"/>
        <v>0</v>
      </c>
      <c r="F36" s="233">
        <f t="shared" si="9"/>
        <v>1.02E-4</v>
      </c>
      <c r="G36" s="233">
        <f t="shared" si="9"/>
        <v>1.0603999999999999E-4</v>
      </c>
      <c r="H36" s="233">
        <f t="shared" si="9"/>
        <v>1.0604000000000001E-4</v>
      </c>
      <c r="I36" s="235">
        <f t="shared" si="9"/>
        <v>1.1420080000000001E-4</v>
      </c>
      <c r="J36" s="235">
        <f t="shared" si="9"/>
        <v>1.2464561600000003E-4</v>
      </c>
      <c r="K36" s="235">
        <f t="shared" si="9"/>
        <v>1.3758334432000004E-4</v>
      </c>
      <c r="L36" s="235">
        <f t="shared" si="9"/>
        <v>1.5327273952640006E-4</v>
      </c>
      <c r="M36" s="233">
        <f t="shared" si="9"/>
        <v>1.7202758952332805E-4</v>
      </c>
      <c r="N36" s="233">
        <f t="shared" si="9"/>
        <v>1.7546814131379462E-4</v>
      </c>
      <c r="O36" s="233">
        <f t="shared" si="9"/>
        <v>1.7897750414007051E-4</v>
      </c>
      <c r="P36" s="233">
        <f t="shared" si="9"/>
        <v>1.8255705422287193E-4</v>
      </c>
      <c r="Q36" s="233">
        <f t="shared" si="9"/>
        <v>1.8620819530732935E-4</v>
      </c>
      <c r="R36" s="233">
        <f t="shared" si="9"/>
        <v>1.8993235921347594E-4</v>
      </c>
      <c r="S36" s="233">
        <f t="shared" si="9"/>
        <v>1.9373100639774544E-4</v>
      </c>
      <c r="T36" s="233">
        <f t="shared" si="9"/>
        <v>1.9760562652570036E-4</v>
      </c>
      <c r="U36" s="233">
        <f t="shared" si="9"/>
        <v>2.0155773905621436E-4</v>
      </c>
      <c r="V36" s="233">
        <f t="shared" si="9"/>
        <v>2.0558889383733866E-4</v>
      </c>
      <c r="W36" s="233">
        <f t="shared" si="9"/>
        <v>2.0970067171408542E-4</v>
      </c>
      <c r="X36" s="233">
        <f t="shared" si="9"/>
        <v>2.1389468514836714E-4</v>
      </c>
      <c r="Y36" s="233">
        <f t="shared" si="9"/>
        <v>2.1817257885133447E-4</v>
      </c>
      <c r="Z36" s="233">
        <f t="shared" si="9"/>
        <v>2.2253603042836115E-4</v>
      </c>
      <c r="AA36" s="233">
        <f t="shared" si="9"/>
        <v>2.2698675103692838E-4</v>
      </c>
      <c r="AB36" s="233">
        <f t="shared" si="9"/>
        <v>2.3152648605766695E-4</v>
      </c>
      <c r="AC36" s="233">
        <f t="shared" si="9"/>
        <v>2.361570157788203E-4</v>
      </c>
      <c r="AD36" s="233">
        <f t="shared" si="9"/>
        <v>2.408801560943967E-4</v>
      </c>
      <c r="AE36" s="233">
        <f t="shared" si="9"/>
        <v>2.4569775921628464E-4</v>
      </c>
      <c r="AF36" s="233">
        <f t="shared" si="9"/>
        <v>2.5061171440061031E-4</v>
      </c>
      <c r="AG36" s="233">
        <f t="shared" si="9"/>
        <v>2.5562394868862252E-4</v>
      </c>
      <c r="AH36" s="233">
        <f t="shared" ref="AH36:BD36" si="10">AH34+AH35</f>
        <v>2.6073642766239499E-4</v>
      </c>
      <c r="AI36" s="233">
        <f t="shared" si="10"/>
        <v>2.6595115621564291E-4</v>
      </c>
      <c r="AJ36" s="233">
        <f t="shared" si="10"/>
        <v>2.7127017933995575E-4</v>
      </c>
      <c r="AK36" s="233">
        <f t="shared" si="10"/>
        <v>2.7669558292675486E-4</v>
      </c>
      <c r="AL36" s="233">
        <f t="shared" si="10"/>
        <v>2.8222949458528998E-4</v>
      </c>
      <c r="AM36" s="233">
        <f t="shared" si="10"/>
        <v>2.8787408447699579E-4</v>
      </c>
      <c r="AN36" s="233">
        <f t="shared" si="10"/>
        <v>2.9363156616653573E-4</v>
      </c>
      <c r="AO36" s="233">
        <f t="shared" si="10"/>
        <v>2.9950419748986644E-4</v>
      </c>
      <c r="AP36" s="233">
        <f t="shared" si="10"/>
        <v>3.054942814396638E-4</v>
      </c>
      <c r="AQ36" s="233">
        <f t="shared" si="10"/>
        <v>3.116041670684571E-4</v>
      </c>
      <c r="AR36" s="233">
        <f t="shared" si="10"/>
        <v>3.1783625040982623E-4</v>
      </c>
      <c r="AS36" s="233">
        <f t="shared" si="10"/>
        <v>3.2419297541802278E-4</v>
      </c>
      <c r="AT36" s="233">
        <f t="shared" si="10"/>
        <v>3.3067683492638326E-4</v>
      </c>
      <c r="AU36" s="233">
        <f t="shared" si="10"/>
        <v>3.3729037162491093E-4</v>
      </c>
      <c r="AV36" s="233">
        <f t="shared" si="10"/>
        <v>3.4403617905740913E-4</v>
      </c>
      <c r="AW36" s="233">
        <f t="shared" si="10"/>
        <v>3.5091690263855732E-4</v>
      </c>
      <c r="AX36" s="233">
        <f t="shared" si="10"/>
        <v>3.5793524069132845E-4</v>
      </c>
      <c r="AY36" s="233">
        <f t="shared" si="10"/>
        <v>3.65093945505155E-4</v>
      </c>
      <c r="AZ36" s="233">
        <f t="shared" si="10"/>
        <v>3.7239582441525809E-4</v>
      </c>
      <c r="BA36" s="233">
        <f t="shared" si="10"/>
        <v>3.7984374090356326E-4</v>
      </c>
      <c r="BB36" s="233">
        <f t="shared" si="10"/>
        <v>3.874406157216345E-4</v>
      </c>
      <c r="BC36" s="233">
        <f t="shared" si="10"/>
        <v>3.951894280360672E-4</v>
      </c>
      <c r="BD36" s="233">
        <f t="shared" si="10"/>
        <v>4.0309321659678856E-4</v>
      </c>
    </row>
    <row r="37" spans="1:56" s="151" customFormat="1" x14ac:dyDescent="0.25">
      <c r="B37" s="176"/>
      <c r="I37" s="153"/>
    </row>
    <row r="38" spans="1:56" s="151" customFormat="1" x14ac:dyDescent="0.25">
      <c r="A38" s="27" t="s">
        <v>441</v>
      </c>
      <c r="B38" s="76">
        <f t="shared" ref="B38:M38" si="11">B55</f>
        <v>44593</v>
      </c>
      <c r="C38" s="76">
        <f t="shared" si="11"/>
        <v>44624</v>
      </c>
      <c r="D38" s="76">
        <f t="shared" si="11"/>
        <v>44655</v>
      </c>
      <c r="E38" s="76">
        <f t="shared" si="11"/>
        <v>44686</v>
      </c>
      <c r="F38" s="76">
        <f t="shared" si="11"/>
        <v>44717</v>
      </c>
      <c r="G38" s="76">
        <f t="shared" si="11"/>
        <v>44748</v>
      </c>
      <c r="H38" s="76">
        <f t="shared" si="11"/>
        <v>44779</v>
      </c>
      <c r="I38" s="76">
        <f t="shared" si="11"/>
        <v>44810</v>
      </c>
      <c r="J38" s="76">
        <f t="shared" si="11"/>
        <v>44841</v>
      </c>
      <c r="K38" s="76">
        <f t="shared" si="11"/>
        <v>44872</v>
      </c>
      <c r="L38" s="76">
        <f t="shared" si="11"/>
        <v>44903</v>
      </c>
      <c r="M38" s="76">
        <f t="shared" si="11"/>
        <v>44934</v>
      </c>
      <c r="N38" s="76">
        <f>M38+31</f>
        <v>44965</v>
      </c>
      <c r="O38" s="76">
        <f t="shared" ref="O38:BD38" si="12">N38+31</f>
        <v>44996</v>
      </c>
      <c r="P38" s="76">
        <f t="shared" si="12"/>
        <v>45027</v>
      </c>
      <c r="Q38" s="76">
        <f t="shared" si="12"/>
        <v>45058</v>
      </c>
      <c r="R38" s="76">
        <f t="shared" si="12"/>
        <v>45089</v>
      </c>
      <c r="S38" s="76">
        <f t="shared" si="12"/>
        <v>45120</v>
      </c>
      <c r="T38" s="76">
        <f t="shared" si="12"/>
        <v>45151</v>
      </c>
      <c r="U38" s="76">
        <f t="shared" si="12"/>
        <v>45182</v>
      </c>
      <c r="V38" s="76">
        <f t="shared" si="12"/>
        <v>45213</v>
      </c>
      <c r="W38" s="76">
        <f t="shared" si="12"/>
        <v>45244</v>
      </c>
      <c r="X38" s="76">
        <f t="shared" si="12"/>
        <v>45275</v>
      </c>
      <c r="Y38" s="76">
        <f t="shared" si="12"/>
        <v>45306</v>
      </c>
      <c r="Z38" s="76">
        <f t="shared" si="12"/>
        <v>45337</v>
      </c>
      <c r="AA38" s="76">
        <f t="shared" si="12"/>
        <v>45368</v>
      </c>
      <c r="AB38" s="76">
        <f t="shared" si="12"/>
        <v>45399</v>
      </c>
      <c r="AC38" s="76">
        <f t="shared" si="12"/>
        <v>45430</v>
      </c>
      <c r="AD38" s="76">
        <f t="shared" si="12"/>
        <v>45461</v>
      </c>
      <c r="AE38" s="76">
        <f t="shared" si="12"/>
        <v>45492</v>
      </c>
      <c r="AF38" s="76">
        <f t="shared" si="12"/>
        <v>45523</v>
      </c>
      <c r="AG38" s="76">
        <f t="shared" si="12"/>
        <v>45554</v>
      </c>
      <c r="AH38" s="76">
        <f t="shared" si="12"/>
        <v>45585</v>
      </c>
      <c r="AI38" s="76">
        <f t="shared" si="12"/>
        <v>45616</v>
      </c>
      <c r="AJ38" s="76">
        <f t="shared" si="12"/>
        <v>45647</v>
      </c>
      <c r="AK38" s="76">
        <f t="shared" si="12"/>
        <v>45678</v>
      </c>
      <c r="AL38" s="76">
        <f t="shared" si="12"/>
        <v>45709</v>
      </c>
      <c r="AM38" s="76">
        <f t="shared" si="12"/>
        <v>45740</v>
      </c>
      <c r="AN38" s="76">
        <f t="shared" si="12"/>
        <v>45771</v>
      </c>
      <c r="AO38" s="76">
        <f t="shared" si="12"/>
        <v>45802</v>
      </c>
      <c r="AP38" s="76">
        <f t="shared" si="12"/>
        <v>45833</v>
      </c>
      <c r="AQ38" s="76">
        <f t="shared" si="12"/>
        <v>45864</v>
      </c>
      <c r="AR38" s="76">
        <f t="shared" si="12"/>
        <v>45895</v>
      </c>
      <c r="AS38" s="76">
        <f t="shared" si="12"/>
        <v>45926</v>
      </c>
      <c r="AT38" s="76">
        <f t="shared" si="12"/>
        <v>45957</v>
      </c>
      <c r="AU38" s="76">
        <f t="shared" si="12"/>
        <v>45988</v>
      </c>
      <c r="AV38" s="76">
        <f t="shared" si="12"/>
        <v>46019</v>
      </c>
      <c r="AW38" s="76">
        <f t="shared" si="12"/>
        <v>46050</v>
      </c>
      <c r="AX38" s="76">
        <f t="shared" si="12"/>
        <v>46081</v>
      </c>
      <c r="AY38" s="76">
        <f t="shared" si="12"/>
        <v>46112</v>
      </c>
      <c r="AZ38" s="76">
        <f t="shared" si="12"/>
        <v>46143</v>
      </c>
      <c r="BA38" s="76">
        <f t="shared" si="12"/>
        <v>46174</v>
      </c>
      <c r="BB38" s="76">
        <f t="shared" si="12"/>
        <v>46205</v>
      </c>
      <c r="BC38" s="76">
        <f t="shared" si="12"/>
        <v>46236</v>
      </c>
      <c r="BD38" s="76">
        <f t="shared" si="12"/>
        <v>46267</v>
      </c>
    </row>
    <row r="39" spans="1:56" s="159" customFormat="1" ht="17" x14ac:dyDescent="0.25">
      <c r="A39" s="160" t="s">
        <v>434</v>
      </c>
      <c r="B39" s="236" t="str">
        <f>IFERROR(IF(SUM(B56:B57)&gt;0,"",HLOOKUP(B38,'WEBSITES AUDIENCE'!$B$58:$BI$61,4)),"0")</f>
        <v/>
      </c>
      <c r="C39" s="236" t="str">
        <f>IFERROR(IF(SUM(C56:C57)&gt;0,"",HLOOKUP(C38,'WEBSITES AUDIENCE'!$B$58:$BI$61,4)),"0")</f>
        <v/>
      </c>
      <c r="D39" s="236" t="str">
        <f>IFERROR(IF(SUM(D56:D57)&gt;0,"",HLOOKUP(D38,'WEBSITES AUDIENCE'!$B$58:$BI$61,4)),"0")</f>
        <v/>
      </c>
      <c r="E39" s="236" t="str">
        <f>IFERROR(IF(SUM(E56:E57)&gt;0,"",HLOOKUP(E38,'WEBSITES AUDIENCE'!$B$58:$BI$61,4)),"0")</f>
        <v/>
      </c>
      <c r="F39" s="455">
        <f>IFERROR(IF(SUM(F56:F57)&gt;0,"",HLOOKUP(F38,'WEBSITES AUDIENCE'!$B$58:$BI$61,4)),"0")</f>
        <v>31888277.560666192</v>
      </c>
      <c r="G39" s="455">
        <f>IFERROR(IF(SUM(G56:G57)&gt;0,"",HLOOKUP(G38,'WEBSITES AUDIENCE'!$B$58:$BI$61,4)),"0")</f>
        <v>34565634.928359397</v>
      </c>
      <c r="H39" s="455">
        <f>IFERROR(IF(SUM(H56:H57)&gt;0,"",HLOOKUP(H38,'WEBSITES AUDIENCE'!$B$58:$BI$61,4)),"0")</f>
        <v>37263585.686962709</v>
      </c>
      <c r="I39" s="455">
        <f>IFERROR(IF(SUM(I56:I57)&gt;0,"",HLOOKUP(I38,'WEBSITES AUDIENCE'!$B$58:$BI$61,4)),"0")</f>
        <v>39983375.03140007</v>
      </c>
      <c r="J39" s="455">
        <f>IFERROR(IF(SUM(J56:J57)&gt;0,"",HLOOKUP(J38,'WEBSITES AUDIENCE'!$B$58:$BI$61,4)),"0")</f>
        <v>42726434.935834005</v>
      </c>
      <c r="K39" s="455">
        <f>IFERROR(IF(SUM(K56:K57)&gt;0,"",HLOOKUP(K38,'WEBSITES AUDIENCE'!$B$58:$BI$61,4)),"0")</f>
        <v>45494412.170551419</v>
      </c>
      <c r="L39" s="455">
        <f>IFERROR(IF(SUM(L56:L57)&gt;0,"",HLOOKUP(L38,'WEBSITES AUDIENCE'!$B$58:$BI$61,4)),"0")</f>
        <v>48289200.521382257</v>
      </c>
      <c r="M39" s="455">
        <f>IFERROR(IF(SUM(M56:M57)&gt;0,"",HLOOKUP(M38,'WEBSITES AUDIENCE'!$B$58:$BI$61,4)),"0")</f>
        <v>52348333.029462464</v>
      </c>
      <c r="N39" s="455">
        <f>IFERROR(IF(SUM(N56:N57)&gt;0,"",HLOOKUP(N38,'WEBSITES AUDIENCE'!$B$58:$BI$61,4)),"0")</f>
        <v>56445105.084829211</v>
      </c>
      <c r="O39" s="455">
        <f>IFERROR(IF(SUM(O56:O57)&gt;0,"",HLOOKUP(O38,'WEBSITES AUDIENCE'!$B$58:$BI$61,4)),"0")</f>
        <v>60582396.899006628</v>
      </c>
      <c r="P39" s="455">
        <f>IFERROR(IF(SUM(P56:P57)&gt;0,"",HLOOKUP(P38,'WEBSITES AUDIENCE'!$B$58:$BI$61,4)),"0")</f>
        <v>64763520.715247415</v>
      </c>
      <c r="Q39" s="455">
        <f>IFERROR(IF(SUM(Q56:Q57)&gt;0,"",HLOOKUP(Q38,'WEBSITES AUDIENCE'!$B$58:$BI$61,4)),"0")</f>
        <v>68992285.613292217</v>
      </c>
      <c r="R39" s="455">
        <f>IFERROR(IF(SUM(R56:R57)&gt;0,"",HLOOKUP(R38,'WEBSITES AUDIENCE'!$B$58:$BI$61,4)),"0")</f>
        <v>73273072.0348427</v>
      </c>
      <c r="S39" s="455">
        <f>IFERROR(IF(SUM(S56:S57)&gt;0,"",HLOOKUP(S38,'WEBSITES AUDIENCE'!$B$58:$BI$61,4)),"0")</f>
        <v>77610917.487855956</v>
      </c>
      <c r="T39" s="455">
        <f>IFERROR(IF(SUM(T56:T57)&gt;0,"",HLOOKUP(T38,'WEBSITES AUDIENCE'!$B$58:$BI$61,4)),"0")</f>
        <v>82011615.106482431</v>
      </c>
      <c r="U39" s="455">
        <f>IFERROR(IF(SUM(U56:U57)&gt;0,"",HLOOKUP(U38,'WEBSITES AUDIENCE'!$B$58:$BI$61,4)),"0")</f>
        <v>86481826.994995251</v>
      </c>
      <c r="V39" s="455">
        <f>IFERROR(IF(SUM(V56:V57)&gt;0,"",HLOOKUP(V38,'WEBSITES AUDIENCE'!$B$58:$BI$61,4)),"0")</f>
        <v>91029214.573308498</v>
      </c>
      <c r="W39" s="455">
        <f>IFERROR(IF(SUM(W56:W57)&gt;0,"",HLOOKUP(W38,'WEBSITES AUDIENCE'!$B$58:$BI$61,4)),"0")</f>
        <v>95662588.474323377</v>
      </c>
      <c r="X39" s="455">
        <f>IFERROR(IF(SUM(X56:X57)&gt;0,"",HLOOKUP(X38,'WEBSITES AUDIENCE'!$B$58:$BI$61,4)),"0")</f>
        <v>100392080.92587622</v>
      </c>
      <c r="Y39" s="455">
        <f>IFERROR(IF(SUM(Y56:Y57)&gt;0,"",HLOOKUP(Y38,'WEBSITES AUDIENCE'!$B$58:$BI$61,4)),"0")</f>
        <v>105970557.10243779</v>
      </c>
      <c r="Z39" s="455">
        <f>IFERROR(IF(SUM(Z56:Z57)&gt;0,"",HLOOKUP(Z38,'WEBSITES AUDIENCE'!$B$58:$BI$61,4)),"0")</f>
        <v>111673891.39028794</v>
      </c>
      <c r="AA39" s="455">
        <f>IFERROR(IF(SUM(AA56:AA57)&gt;0,"",HLOOKUP(AA38,'WEBSITES AUDIENCE'!$B$58:$BI$61,4)),"0")</f>
        <v>117517493.64143726</v>
      </c>
      <c r="AB39" s="455">
        <f>IFERROR(IF(SUM(AB56:AB57)&gt;0,"",HLOOKUP(AB38,'WEBSITES AUDIENCE'!$B$58:$BI$61,4)),"0")</f>
        <v>123519309.43009178</v>
      </c>
      <c r="AC39" s="455">
        <f>IFERROR(IF(SUM(AC56:AC57)&gt;0,"",HLOOKUP(AC38,'WEBSITES AUDIENCE'!$B$58:$BI$61,4)),"0")</f>
        <v>129699528.7934446</v>
      </c>
      <c r="AD39" s="455">
        <f>IFERROR(IF(SUM(AD56:AD57)&gt;0,"",HLOOKUP(AD38,'WEBSITES AUDIENCE'!$B$58:$BI$61,4)),"0")</f>
        <v>136081593.40301779</v>
      </c>
      <c r="AE39" s="455">
        <f>IFERROR(IF(SUM(AE56:AE57)&gt;0,"",HLOOKUP(AE38,'WEBSITES AUDIENCE'!$B$58:$BI$61,4)),"0")</f>
        <v>142692461.1810618</v>
      </c>
      <c r="AF39" s="455">
        <f>IFERROR(IF(SUM(AF56:AF57)&gt;0,"",HLOOKUP(AF38,'WEBSITES AUDIENCE'!$B$58:$BI$61,4)),"0")</f>
        <v>149563133.73816457</v>
      </c>
      <c r="AG39" s="455">
        <f>IFERROR(IF(SUM(AG56:AG57)&gt;0,"",HLOOKUP(AG38,'WEBSITES AUDIENCE'!$B$58:$BI$61,4)),"0")</f>
        <v>156729262.92650229</v>
      </c>
      <c r="AH39" s="455">
        <f>IFERROR(IF(SUM(AH56:AH57)&gt;0,"",HLOOKUP(AH38,'WEBSITES AUDIENCE'!$B$58:$BI$61,4)),"0")</f>
        <v>164231848.3760775</v>
      </c>
      <c r="AI39" s="455">
        <f>IFERROR(IF(SUM(AI56:AI57)&gt;0,"",HLOOKUP(AI38,'WEBSITES AUDIENCE'!$B$58:$BI$61,4)),"0")</f>
        <v>172118039.66139323</v>
      </c>
      <c r="AJ39" s="455">
        <f>IFERROR(IF(SUM(AJ56:AJ57)&gt;0,"",HLOOKUP(AJ38,'WEBSITES AUDIENCE'!$B$58:$BI$61,4)),"0")</f>
        <v>180442058.79312783</v>
      </c>
      <c r="AK39" s="455">
        <f>IFERROR(IF(SUM(AK56:AK57)&gt;0,"",HLOOKUP(AK38,'WEBSITES AUDIENCE'!$B$58:$BI$61,4)),"0")</f>
        <v>180442058.79312783</v>
      </c>
      <c r="AL39" s="455">
        <f>IFERROR(IF(SUM(AL56:AL57)&gt;0,"",HLOOKUP(AL38,'WEBSITES AUDIENCE'!$B$58:$BI$61,4)),"0")</f>
        <v>180442058.79312783</v>
      </c>
      <c r="AM39" s="455">
        <f>IFERROR(IF(SUM(AM56:AM57)&gt;0,"",HLOOKUP(AM38,'WEBSITES AUDIENCE'!$B$58:$BI$61,4)),"0")</f>
        <v>180442058.79312783</v>
      </c>
      <c r="AN39" s="455">
        <f>IFERROR(IF(SUM(AN56:AN57)&gt;0,"",HLOOKUP(AN38,'WEBSITES AUDIENCE'!$B$58:$BI$61,4)),"0")</f>
        <v>180442058.79312783</v>
      </c>
      <c r="AO39" s="455">
        <f>IFERROR(IF(SUM(AO56:AO57)&gt;0,"",HLOOKUP(AO38,'WEBSITES AUDIENCE'!$B$58:$BI$61,4)),"0")</f>
        <v>180442058.79312783</v>
      </c>
      <c r="AP39" s="455">
        <f>IFERROR(IF(SUM(AP56:AP57)&gt;0,"",HLOOKUP(AP38,'WEBSITES AUDIENCE'!$B$58:$BI$61,4)),"0")</f>
        <v>180442058.79312783</v>
      </c>
      <c r="AQ39" s="455">
        <f>IFERROR(IF(SUM(AQ56:AQ57)&gt;0,"",HLOOKUP(AQ38,'WEBSITES AUDIENCE'!$B$58:$BI$61,4)),"0")</f>
        <v>180442058.79312783</v>
      </c>
      <c r="AR39" s="455">
        <f>IFERROR(IF(SUM(AR56:AR57)&gt;0,"",HLOOKUP(AR38,'WEBSITES AUDIENCE'!$B$58:$BI$61,4)),"0")</f>
        <v>180442058.79312783</v>
      </c>
      <c r="AS39" s="455">
        <f>IFERROR(IF(SUM(AS56:AS57)&gt;0,"",HLOOKUP(AS38,'WEBSITES AUDIENCE'!$B$58:$BI$61,4)),"0")</f>
        <v>180442058.79312783</v>
      </c>
      <c r="AT39" s="455">
        <f>IFERROR(IF(SUM(AT56:AT57)&gt;0,"",HLOOKUP(AT38,'WEBSITES AUDIENCE'!$B$58:$BI$61,4)),"0")</f>
        <v>180442058.79312783</v>
      </c>
      <c r="AU39" s="455">
        <f>IFERROR(IF(SUM(AU56:AU57)&gt;0,"",HLOOKUP(AU38,'WEBSITES AUDIENCE'!$B$58:$BI$61,4)),"0")</f>
        <v>180442058.79312783</v>
      </c>
      <c r="AV39" s="455">
        <f>IFERROR(IF(SUM(AV56:AV57)&gt;0,"",HLOOKUP(AV38,'WEBSITES AUDIENCE'!$B$58:$BI$61,4)),"0")</f>
        <v>180442058.79312783</v>
      </c>
      <c r="AW39" s="455">
        <f>IFERROR(IF(SUM(AW56:AW57)&gt;0,"",HLOOKUP(AW38,'WEBSITES AUDIENCE'!$B$58:$BI$61,4)),"0")</f>
        <v>180442058.79312783</v>
      </c>
      <c r="AX39" s="455">
        <f>IFERROR(IF(SUM(AX56:AX57)&gt;0,"",HLOOKUP(AX38,'WEBSITES AUDIENCE'!$B$58:$BI$61,4)),"0")</f>
        <v>180442058.79312783</v>
      </c>
      <c r="AY39" s="455">
        <f>IFERROR(IF(SUM(AY56:AY57)&gt;0,"",HLOOKUP(AY38,'WEBSITES AUDIENCE'!$B$58:$BI$61,4)),"0")</f>
        <v>180442058.79312783</v>
      </c>
      <c r="AZ39" s="455">
        <f>IFERROR(IF(SUM(AZ56:AZ57)&gt;0,"",HLOOKUP(AZ38,'WEBSITES AUDIENCE'!$B$58:$BI$61,4)),"0")</f>
        <v>180442058.79312783</v>
      </c>
      <c r="BA39" s="455">
        <f>IFERROR(IF(SUM(BA56:BA57)&gt;0,"",HLOOKUP(BA38,'WEBSITES AUDIENCE'!$B$58:$BI$61,4)),"0")</f>
        <v>180442058.79312783</v>
      </c>
      <c r="BB39" s="455">
        <f>IFERROR(IF(SUM(BB56:BB57)&gt;0,"",HLOOKUP(BB38,'WEBSITES AUDIENCE'!$B$58:$BI$61,4)),"0")</f>
        <v>180442058.79312783</v>
      </c>
      <c r="BC39" s="455">
        <f>IFERROR(IF(SUM(BC56:BC57)&gt;0,"",HLOOKUP(BC38,'WEBSITES AUDIENCE'!$B$58:$BI$61,4)),"0")</f>
        <v>180442058.79312783</v>
      </c>
      <c r="BD39" s="455">
        <f>IFERROR(IF(SUM(BD56:BD57)&gt;0,"",HLOOKUP(BD38,'WEBSITES AUDIENCE'!$B$58:$BI$61,4)),"0")</f>
        <v>180442058.79312783</v>
      </c>
    </row>
    <row r="40" spans="1:56" s="151" customFormat="1" outlineLevel="1" x14ac:dyDescent="0.25">
      <c r="A40" s="151" t="s">
        <v>429</v>
      </c>
      <c r="B40" s="237">
        <f>IF(B36=0%,0,B39*$B$23)</f>
        <v>0</v>
      </c>
      <c r="C40" s="237">
        <f t="shared" ref="C40:H40" si="13">IF(B42=0,(IF(C36=0%,0,C39*$B$23)),B40+B41)</f>
        <v>0</v>
      </c>
      <c r="D40" s="237">
        <f t="shared" si="13"/>
        <v>0</v>
      </c>
      <c r="E40" s="237">
        <f t="shared" si="13"/>
        <v>0</v>
      </c>
      <c r="F40" s="636">
        <f>IF(E42=0,(IF(F36=0%,0,F39*$B$23)),E40+E41)</f>
        <v>3188.8277560666193</v>
      </c>
      <c r="G40" s="636">
        <f t="shared" si="13"/>
        <v>3252.6043111879517</v>
      </c>
      <c r="H40" s="636">
        <f t="shared" si="13"/>
        <v>3317.6563974117107</v>
      </c>
      <c r="I40" s="636">
        <f t="shared" ref="I40:BB40" si="14">IF(H42=0,(IF(I36=0%,0,I39*$B$23)),H40+H41)</f>
        <v>3384.0095253599447</v>
      </c>
      <c r="J40" s="636">
        <f t="shared" si="14"/>
        <v>3451.6897158671436</v>
      </c>
      <c r="K40" s="636">
        <f t="shared" si="14"/>
        <v>3520.7235101844863</v>
      </c>
      <c r="L40" s="636">
        <f t="shared" si="14"/>
        <v>3591.1379803881759</v>
      </c>
      <c r="M40" s="636">
        <f t="shared" si="14"/>
        <v>3662.9607399959395</v>
      </c>
      <c r="N40" s="636">
        <f t="shared" si="14"/>
        <v>3736.2199547958585</v>
      </c>
      <c r="O40" s="636">
        <f t="shared" si="14"/>
        <v>3810.9443538917758</v>
      </c>
      <c r="P40" s="636">
        <f t="shared" si="14"/>
        <v>3887.1632409696113</v>
      </c>
      <c r="Q40" s="636">
        <f t="shared" si="14"/>
        <v>3964.9065057890034</v>
      </c>
      <c r="R40" s="636">
        <f t="shared" si="14"/>
        <v>4044.2046359047836</v>
      </c>
      <c r="S40" s="636">
        <f t="shared" si="14"/>
        <v>4125.088728622879</v>
      </c>
      <c r="T40" s="636">
        <f t="shared" si="14"/>
        <v>4207.5905031953362</v>
      </c>
      <c r="U40" s="636">
        <f t="shared" si="14"/>
        <v>4291.742313259243</v>
      </c>
      <c r="V40" s="636">
        <f t="shared" si="14"/>
        <v>4377.5771595244278</v>
      </c>
      <c r="W40" s="636">
        <f t="shared" si="14"/>
        <v>4465.1287027149165</v>
      </c>
      <c r="X40" s="636">
        <f t="shared" si="14"/>
        <v>4554.4312767692145</v>
      </c>
      <c r="Y40" s="636">
        <f t="shared" si="14"/>
        <v>4645.5199023045989</v>
      </c>
      <c r="Z40" s="636">
        <f t="shared" si="14"/>
        <v>4738.4303003506911</v>
      </c>
      <c r="AA40" s="636">
        <f t="shared" si="14"/>
        <v>4833.1989063577048</v>
      </c>
      <c r="AB40" s="636">
        <f t="shared" si="14"/>
        <v>4929.862884484859</v>
      </c>
      <c r="AC40" s="636">
        <f t="shared" si="14"/>
        <v>5028.4601421745565</v>
      </c>
      <c r="AD40" s="636">
        <f t="shared" si="14"/>
        <v>5129.0293450180479</v>
      </c>
      <c r="AE40" s="636">
        <f t="shared" si="14"/>
        <v>5231.6099319184086</v>
      </c>
      <c r="AF40" s="636">
        <f t="shared" si="14"/>
        <v>5336.2421305567768</v>
      </c>
      <c r="AG40" s="636">
        <f t="shared" si="14"/>
        <v>5442.9669731679123</v>
      </c>
      <c r="AH40" s="636">
        <f t="shared" si="14"/>
        <v>5551.8263126312704</v>
      </c>
      <c r="AI40" s="636">
        <f t="shared" si="14"/>
        <v>5662.8628388838961</v>
      </c>
      <c r="AJ40" s="636">
        <f t="shared" si="14"/>
        <v>5776.1200956615739</v>
      </c>
      <c r="AK40" s="636">
        <f t="shared" si="14"/>
        <v>5891.642497574805</v>
      </c>
      <c r="AL40" s="636">
        <f t="shared" si="14"/>
        <v>6009.4753475263014</v>
      </c>
      <c r="AM40" s="636">
        <f t="shared" si="14"/>
        <v>6129.6648544768277</v>
      </c>
      <c r="AN40" s="636">
        <f t="shared" si="14"/>
        <v>6252.2581515663642</v>
      </c>
      <c r="AO40" s="636">
        <f t="shared" si="14"/>
        <v>6377.3033145976915</v>
      </c>
      <c r="AP40" s="636">
        <f t="shared" si="14"/>
        <v>6504.8493808896455</v>
      </c>
      <c r="AQ40" s="636">
        <f t="shared" si="14"/>
        <v>6634.9463685074388</v>
      </c>
      <c r="AR40" s="636">
        <f t="shared" si="14"/>
        <v>6767.6452958775872</v>
      </c>
      <c r="AS40" s="636">
        <f t="shared" si="14"/>
        <v>6902.9982017951388</v>
      </c>
      <c r="AT40" s="636">
        <f t="shared" si="14"/>
        <v>7041.0581658310412</v>
      </c>
      <c r="AU40" s="636">
        <f t="shared" si="14"/>
        <v>7181.8793291476622</v>
      </c>
      <c r="AV40" s="636">
        <f t="shared" si="14"/>
        <v>7325.5169157306154</v>
      </c>
      <c r="AW40" s="636">
        <f t="shared" si="14"/>
        <v>7472.0272540452279</v>
      </c>
      <c r="AX40" s="636">
        <f t="shared" si="14"/>
        <v>7621.4677991261324</v>
      </c>
      <c r="AY40" s="636">
        <f t="shared" si="14"/>
        <v>7773.8971551086552</v>
      </c>
      <c r="AZ40" s="636">
        <f t="shared" si="14"/>
        <v>7929.3750982108286</v>
      </c>
      <c r="BA40" s="636">
        <f t="shared" si="14"/>
        <v>8087.9626001750448</v>
      </c>
      <c r="BB40" s="636">
        <f t="shared" si="14"/>
        <v>8249.7218521785453</v>
      </c>
      <c r="BC40" s="636">
        <f>IF(BB42=0,(IF(BC36=0%,0,BC39*$B$23)),BB40+BB41)</f>
        <v>8414.7162892221168</v>
      </c>
      <c r="BD40" s="636">
        <f t="shared" ref="BD40" si="15">IF(BC42=0,(IF(BD36=0%,0,BD39*$B$23)),BC40+BC41)</f>
        <v>8583.0106150065585</v>
      </c>
    </row>
    <row r="41" spans="1:56" s="151" customFormat="1" outlineLevel="1" x14ac:dyDescent="0.25">
      <c r="A41" s="151" t="s">
        <v>435</v>
      </c>
      <c r="B41" s="237">
        <f t="shared" ref="B41:G41" si="16">B40*$B$24</f>
        <v>0</v>
      </c>
      <c r="C41" s="237">
        <f t="shared" si="16"/>
        <v>0</v>
      </c>
      <c r="D41" s="237">
        <f t="shared" si="16"/>
        <v>0</v>
      </c>
      <c r="E41" s="237">
        <f t="shared" si="16"/>
        <v>0</v>
      </c>
      <c r="F41" s="636">
        <f t="shared" si="16"/>
        <v>63.776555121332386</v>
      </c>
      <c r="G41" s="636">
        <f t="shared" si="16"/>
        <v>65.052086223759034</v>
      </c>
      <c r="H41" s="636">
        <f>H40*$B$24</f>
        <v>66.353127948234217</v>
      </c>
      <c r="I41" s="636">
        <f t="shared" ref="I41:BB41" si="17">I40*$B$24</f>
        <v>67.680190507198901</v>
      </c>
      <c r="J41" s="636">
        <f t="shared" si="17"/>
        <v>69.033794317342867</v>
      </c>
      <c r="K41" s="636">
        <f t="shared" si="17"/>
        <v>70.414470203689731</v>
      </c>
      <c r="L41" s="636">
        <f t="shared" si="17"/>
        <v>71.822759607763516</v>
      </c>
      <c r="M41" s="636">
        <f t="shared" si="17"/>
        <v>73.259214799918794</v>
      </c>
      <c r="N41" s="636">
        <f t="shared" si="17"/>
        <v>74.724399095917178</v>
      </c>
      <c r="O41" s="636">
        <f t="shared" si="17"/>
        <v>76.218887077835518</v>
      </c>
      <c r="P41" s="636">
        <f t="shared" si="17"/>
        <v>77.743264819392223</v>
      </c>
      <c r="Q41" s="636">
        <f t="shared" si="17"/>
        <v>79.298130115780069</v>
      </c>
      <c r="R41" s="636">
        <f t="shared" si="17"/>
        <v>80.884092718095673</v>
      </c>
      <c r="S41" s="636">
        <f t="shared" si="17"/>
        <v>82.501774572457578</v>
      </c>
      <c r="T41" s="636">
        <f t="shared" si="17"/>
        <v>84.151810063906723</v>
      </c>
      <c r="U41" s="636">
        <f t="shared" si="17"/>
        <v>85.834846265184865</v>
      </c>
      <c r="V41" s="636">
        <f t="shared" si="17"/>
        <v>87.551543190488559</v>
      </c>
      <c r="W41" s="636">
        <f t="shared" si="17"/>
        <v>89.302574054298333</v>
      </c>
      <c r="X41" s="636">
        <f t="shared" si="17"/>
        <v>91.088625535384296</v>
      </c>
      <c r="Y41" s="636">
        <f t="shared" si="17"/>
        <v>92.910398046091984</v>
      </c>
      <c r="Z41" s="636">
        <f t="shared" si="17"/>
        <v>94.76860600701383</v>
      </c>
      <c r="AA41" s="636">
        <f t="shared" si="17"/>
        <v>96.663978127154095</v>
      </c>
      <c r="AB41" s="636">
        <f t="shared" si="17"/>
        <v>98.597257689697187</v>
      </c>
      <c r="AC41" s="636">
        <f t="shared" si="17"/>
        <v>100.56920284349113</v>
      </c>
      <c r="AD41" s="636">
        <f t="shared" si="17"/>
        <v>102.58058690036096</v>
      </c>
      <c r="AE41" s="636">
        <f t="shared" si="17"/>
        <v>104.63219863836818</v>
      </c>
      <c r="AF41" s="636">
        <f t="shared" si="17"/>
        <v>106.72484261113554</v>
      </c>
      <c r="AG41" s="636">
        <f t="shared" si="17"/>
        <v>108.85933946335825</v>
      </c>
      <c r="AH41" s="636">
        <f t="shared" si="17"/>
        <v>111.03652625262541</v>
      </c>
      <c r="AI41" s="636">
        <f t="shared" si="17"/>
        <v>113.25725677767792</v>
      </c>
      <c r="AJ41" s="636">
        <f t="shared" si="17"/>
        <v>115.52240191323148</v>
      </c>
      <c r="AK41" s="636">
        <f t="shared" si="17"/>
        <v>117.8328499514961</v>
      </c>
      <c r="AL41" s="636">
        <f t="shared" si="17"/>
        <v>120.18950695052604</v>
      </c>
      <c r="AM41" s="636">
        <f t="shared" si="17"/>
        <v>122.59329708953656</v>
      </c>
      <c r="AN41" s="636">
        <f t="shared" si="17"/>
        <v>125.04516303132729</v>
      </c>
      <c r="AO41" s="636">
        <f t="shared" si="17"/>
        <v>127.54606629195384</v>
      </c>
      <c r="AP41" s="636">
        <f t="shared" si="17"/>
        <v>130.09698761779291</v>
      </c>
      <c r="AQ41" s="636">
        <f t="shared" si="17"/>
        <v>132.69892737014877</v>
      </c>
      <c r="AR41" s="636">
        <f t="shared" si="17"/>
        <v>135.35290591755174</v>
      </c>
      <c r="AS41" s="636">
        <f t="shared" si="17"/>
        <v>138.05996403590277</v>
      </c>
      <c r="AT41" s="636">
        <f t="shared" si="17"/>
        <v>140.82116331662084</v>
      </c>
      <c r="AU41" s="636">
        <f t="shared" si="17"/>
        <v>143.63758658295325</v>
      </c>
      <c r="AV41" s="636">
        <f t="shared" si="17"/>
        <v>146.51033831461231</v>
      </c>
      <c r="AW41" s="636">
        <f t="shared" si="17"/>
        <v>149.44054508090457</v>
      </c>
      <c r="AX41" s="636">
        <f t="shared" si="17"/>
        <v>152.42935598252265</v>
      </c>
      <c r="AY41" s="636">
        <f t="shared" si="17"/>
        <v>155.4779431021731</v>
      </c>
      <c r="AZ41" s="636">
        <f t="shared" si="17"/>
        <v>158.58750196421659</v>
      </c>
      <c r="BA41" s="636">
        <f t="shared" si="17"/>
        <v>161.7592520035009</v>
      </c>
      <c r="BB41" s="636">
        <f t="shared" si="17"/>
        <v>164.99443704357091</v>
      </c>
      <c r="BC41" s="636">
        <f>BC40*$B$24</f>
        <v>168.29432578444235</v>
      </c>
      <c r="BD41" s="636">
        <f t="shared" ref="BD41" si="18">BD40*$B$24</f>
        <v>171.66021230013118</v>
      </c>
    </row>
    <row r="42" spans="1:56" s="151" customFormat="1" outlineLevel="1" x14ac:dyDescent="0.25">
      <c r="A42" s="151" t="s">
        <v>436</v>
      </c>
      <c r="B42" s="237">
        <f>B41+B40</f>
        <v>0</v>
      </c>
      <c r="C42" s="237">
        <f t="shared" ref="C42:H42" si="19">C41+C40</f>
        <v>0</v>
      </c>
      <c r="D42" s="237">
        <f t="shared" si="19"/>
        <v>0</v>
      </c>
      <c r="E42" s="237">
        <f t="shared" si="19"/>
        <v>0</v>
      </c>
      <c r="F42" s="636">
        <f t="shared" si="19"/>
        <v>3252.6043111879517</v>
      </c>
      <c r="G42" s="636">
        <f t="shared" si="19"/>
        <v>3317.6563974117107</v>
      </c>
      <c r="H42" s="636">
        <f t="shared" si="19"/>
        <v>3384.0095253599447</v>
      </c>
      <c r="I42" s="636">
        <f t="shared" ref="I42" si="20">I41+I40</f>
        <v>3451.6897158671436</v>
      </c>
      <c r="J42" s="636">
        <f t="shared" ref="J42" si="21">J41+J40</f>
        <v>3520.7235101844863</v>
      </c>
      <c r="K42" s="636">
        <f t="shared" ref="K42" si="22">K41+K40</f>
        <v>3591.1379803881759</v>
      </c>
      <c r="L42" s="636">
        <f t="shared" ref="L42" si="23">L41+L40</f>
        <v>3662.9607399959395</v>
      </c>
      <c r="M42" s="636">
        <f t="shared" ref="M42" si="24">M41+M40</f>
        <v>3736.2199547958585</v>
      </c>
      <c r="N42" s="636">
        <f t="shared" ref="N42" si="25">N41+N40</f>
        <v>3810.9443538917758</v>
      </c>
      <c r="O42" s="636">
        <f t="shared" ref="O42" si="26">O41+O40</f>
        <v>3887.1632409696113</v>
      </c>
      <c r="P42" s="636">
        <f t="shared" ref="P42" si="27">P41+P40</f>
        <v>3964.9065057890034</v>
      </c>
      <c r="Q42" s="636">
        <f t="shared" ref="Q42" si="28">Q41+Q40</f>
        <v>4044.2046359047836</v>
      </c>
      <c r="R42" s="636">
        <f t="shared" ref="R42" si="29">R41+R40</f>
        <v>4125.088728622879</v>
      </c>
      <c r="S42" s="636">
        <f t="shared" ref="S42" si="30">S41+S40</f>
        <v>4207.5905031953362</v>
      </c>
      <c r="T42" s="636">
        <f t="shared" ref="T42" si="31">T41+T40</f>
        <v>4291.742313259243</v>
      </c>
      <c r="U42" s="636">
        <f t="shared" ref="U42" si="32">U41+U40</f>
        <v>4377.5771595244278</v>
      </c>
      <c r="V42" s="636">
        <f t="shared" ref="V42" si="33">V41+V40</f>
        <v>4465.1287027149165</v>
      </c>
      <c r="W42" s="636">
        <f t="shared" ref="W42" si="34">W41+W40</f>
        <v>4554.4312767692145</v>
      </c>
      <c r="X42" s="636">
        <f t="shared" ref="X42" si="35">X41+X40</f>
        <v>4645.5199023045989</v>
      </c>
      <c r="Y42" s="636">
        <f t="shared" ref="Y42" si="36">Y41+Y40</f>
        <v>4738.4303003506911</v>
      </c>
      <c r="Z42" s="636">
        <f t="shared" ref="Z42" si="37">Z41+Z40</f>
        <v>4833.1989063577048</v>
      </c>
      <c r="AA42" s="636">
        <f t="shared" ref="AA42" si="38">AA41+AA40</f>
        <v>4929.862884484859</v>
      </c>
      <c r="AB42" s="636">
        <f t="shared" ref="AB42" si="39">AB41+AB40</f>
        <v>5028.4601421745565</v>
      </c>
      <c r="AC42" s="636">
        <f t="shared" ref="AC42" si="40">AC41+AC40</f>
        <v>5129.0293450180479</v>
      </c>
      <c r="AD42" s="636">
        <f t="shared" ref="AD42" si="41">AD41+AD40</f>
        <v>5231.6099319184086</v>
      </c>
      <c r="AE42" s="636">
        <f t="shared" ref="AE42" si="42">AE41+AE40</f>
        <v>5336.2421305567768</v>
      </c>
      <c r="AF42" s="636">
        <f t="shared" ref="AF42" si="43">AF41+AF40</f>
        <v>5442.9669731679123</v>
      </c>
      <c r="AG42" s="636">
        <f t="shared" ref="AG42" si="44">AG41+AG40</f>
        <v>5551.8263126312704</v>
      </c>
      <c r="AH42" s="636">
        <f t="shared" ref="AH42" si="45">AH41+AH40</f>
        <v>5662.8628388838961</v>
      </c>
      <c r="AI42" s="636">
        <f t="shared" ref="AI42" si="46">AI41+AI40</f>
        <v>5776.1200956615739</v>
      </c>
      <c r="AJ42" s="636">
        <f t="shared" ref="AJ42" si="47">AJ41+AJ40</f>
        <v>5891.642497574805</v>
      </c>
      <c r="AK42" s="636">
        <f t="shared" ref="AK42" si="48">AK41+AK40</f>
        <v>6009.4753475263014</v>
      </c>
      <c r="AL42" s="636">
        <f t="shared" ref="AL42" si="49">AL41+AL40</f>
        <v>6129.6648544768277</v>
      </c>
      <c r="AM42" s="636">
        <f t="shared" ref="AM42" si="50">AM41+AM40</f>
        <v>6252.2581515663642</v>
      </c>
      <c r="AN42" s="636">
        <f t="shared" ref="AN42" si="51">AN41+AN40</f>
        <v>6377.3033145976915</v>
      </c>
      <c r="AO42" s="636">
        <f t="shared" ref="AO42" si="52">AO41+AO40</f>
        <v>6504.8493808896455</v>
      </c>
      <c r="AP42" s="636">
        <f t="shared" ref="AP42" si="53">AP41+AP40</f>
        <v>6634.9463685074388</v>
      </c>
      <c r="AQ42" s="636">
        <f t="shared" ref="AQ42" si="54">AQ41+AQ40</f>
        <v>6767.6452958775872</v>
      </c>
      <c r="AR42" s="636">
        <f t="shared" ref="AR42" si="55">AR41+AR40</f>
        <v>6902.9982017951388</v>
      </c>
      <c r="AS42" s="636">
        <f t="shared" ref="AS42" si="56">AS41+AS40</f>
        <v>7041.0581658310412</v>
      </c>
      <c r="AT42" s="636">
        <f t="shared" ref="AT42" si="57">AT41+AT40</f>
        <v>7181.8793291476622</v>
      </c>
      <c r="AU42" s="636">
        <f t="shared" ref="AU42" si="58">AU41+AU40</f>
        <v>7325.5169157306154</v>
      </c>
      <c r="AV42" s="636">
        <f t="shared" ref="AV42" si="59">AV41+AV40</f>
        <v>7472.0272540452279</v>
      </c>
      <c r="AW42" s="636">
        <f t="shared" ref="AW42" si="60">AW41+AW40</f>
        <v>7621.4677991261324</v>
      </c>
      <c r="AX42" s="636">
        <f t="shared" ref="AX42" si="61">AX41+AX40</f>
        <v>7773.8971551086552</v>
      </c>
      <c r="AY42" s="636">
        <f t="shared" ref="AY42" si="62">AY41+AY40</f>
        <v>7929.3750982108286</v>
      </c>
      <c r="AZ42" s="636">
        <f t="shared" ref="AZ42" si="63">AZ41+AZ40</f>
        <v>8087.9626001750448</v>
      </c>
      <c r="BA42" s="636">
        <f t="shared" ref="BA42" si="64">BA41+BA40</f>
        <v>8249.7218521785453</v>
      </c>
      <c r="BB42" s="636">
        <f t="shared" ref="BB42" si="65">BB41+BB40</f>
        <v>8414.7162892221168</v>
      </c>
      <c r="BC42" s="636">
        <f t="shared" ref="BC42" si="66">BC41+BC40</f>
        <v>8583.0106150065585</v>
      </c>
      <c r="BD42" s="636">
        <f t="shared" ref="BD42" si="67">BD41+BD40</f>
        <v>8754.6708273066888</v>
      </c>
    </row>
    <row r="43" spans="1:56" s="151" customFormat="1" x14ac:dyDescent="0.25">
      <c r="A43" s="218" t="s">
        <v>393</v>
      </c>
      <c r="B43" s="219">
        <f>B42</f>
        <v>0</v>
      </c>
      <c r="C43" s="219">
        <f t="shared" ref="C43:BD43" si="68">C42</f>
        <v>0</v>
      </c>
      <c r="D43" s="219">
        <f t="shared" si="68"/>
        <v>0</v>
      </c>
      <c r="E43" s="219">
        <f t="shared" si="68"/>
        <v>0</v>
      </c>
      <c r="F43" s="637">
        <f t="shared" si="68"/>
        <v>3252.6043111879517</v>
      </c>
      <c r="G43" s="637">
        <f t="shared" si="68"/>
        <v>3317.6563974117107</v>
      </c>
      <c r="H43" s="637">
        <f t="shared" si="68"/>
        <v>3384.0095253599447</v>
      </c>
      <c r="I43" s="637">
        <f t="shared" si="68"/>
        <v>3451.6897158671436</v>
      </c>
      <c r="J43" s="637">
        <f t="shared" si="68"/>
        <v>3520.7235101844863</v>
      </c>
      <c r="K43" s="637">
        <f t="shared" si="68"/>
        <v>3591.1379803881759</v>
      </c>
      <c r="L43" s="637">
        <f t="shared" si="68"/>
        <v>3662.9607399959395</v>
      </c>
      <c r="M43" s="637">
        <f t="shared" si="68"/>
        <v>3736.2199547958585</v>
      </c>
      <c r="N43" s="637">
        <f t="shared" si="68"/>
        <v>3810.9443538917758</v>
      </c>
      <c r="O43" s="637">
        <f t="shared" si="68"/>
        <v>3887.1632409696113</v>
      </c>
      <c r="P43" s="637">
        <f t="shared" si="68"/>
        <v>3964.9065057890034</v>
      </c>
      <c r="Q43" s="637">
        <f t="shared" si="68"/>
        <v>4044.2046359047836</v>
      </c>
      <c r="R43" s="637">
        <f t="shared" si="68"/>
        <v>4125.088728622879</v>
      </c>
      <c r="S43" s="637">
        <f t="shared" si="68"/>
        <v>4207.5905031953362</v>
      </c>
      <c r="T43" s="637">
        <f t="shared" si="68"/>
        <v>4291.742313259243</v>
      </c>
      <c r="U43" s="637">
        <f t="shared" si="68"/>
        <v>4377.5771595244278</v>
      </c>
      <c r="V43" s="637">
        <f t="shared" si="68"/>
        <v>4465.1287027149165</v>
      </c>
      <c r="W43" s="637">
        <f t="shared" si="68"/>
        <v>4554.4312767692145</v>
      </c>
      <c r="X43" s="637">
        <f t="shared" si="68"/>
        <v>4645.5199023045989</v>
      </c>
      <c r="Y43" s="637">
        <f t="shared" si="68"/>
        <v>4738.4303003506911</v>
      </c>
      <c r="Z43" s="637">
        <f t="shared" si="68"/>
        <v>4833.1989063577048</v>
      </c>
      <c r="AA43" s="637">
        <f t="shared" si="68"/>
        <v>4929.862884484859</v>
      </c>
      <c r="AB43" s="637">
        <f t="shared" si="68"/>
        <v>5028.4601421745565</v>
      </c>
      <c r="AC43" s="637">
        <f t="shared" si="68"/>
        <v>5129.0293450180479</v>
      </c>
      <c r="AD43" s="637">
        <f t="shared" si="68"/>
        <v>5231.6099319184086</v>
      </c>
      <c r="AE43" s="637">
        <f t="shared" si="68"/>
        <v>5336.2421305567768</v>
      </c>
      <c r="AF43" s="637">
        <f t="shared" si="68"/>
        <v>5442.9669731679123</v>
      </c>
      <c r="AG43" s="637">
        <f t="shared" si="68"/>
        <v>5551.8263126312704</v>
      </c>
      <c r="AH43" s="637">
        <f t="shared" si="68"/>
        <v>5662.8628388838961</v>
      </c>
      <c r="AI43" s="637">
        <f t="shared" si="68"/>
        <v>5776.1200956615739</v>
      </c>
      <c r="AJ43" s="637">
        <f t="shared" si="68"/>
        <v>5891.642497574805</v>
      </c>
      <c r="AK43" s="637">
        <f t="shared" si="68"/>
        <v>6009.4753475263014</v>
      </c>
      <c r="AL43" s="637">
        <f t="shared" si="68"/>
        <v>6129.6648544768277</v>
      </c>
      <c r="AM43" s="637">
        <f t="shared" si="68"/>
        <v>6252.2581515663642</v>
      </c>
      <c r="AN43" s="637">
        <f t="shared" si="68"/>
        <v>6377.3033145976915</v>
      </c>
      <c r="AO43" s="637">
        <f t="shared" si="68"/>
        <v>6504.8493808896455</v>
      </c>
      <c r="AP43" s="637">
        <f t="shared" si="68"/>
        <v>6634.9463685074388</v>
      </c>
      <c r="AQ43" s="637">
        <f t="shared" si="68"/>
        <v>6767.6452958775872</v>
      </c>
      <c r="AR43" s="637">
        <f t="shared" si="68"/>
        <v>6902.9982017951388</v>
      </c>
      <c r="AS43" s="637">
        <f t="shared" si="68"/>
        <v>7041.0581658310412</v>
      </c>
      <c r="AT43" s="637">
        <f t="shared" si="68"/>
        <v>7181.8793291476622</v>
      </c>
      <c r="AU43" s="637">
        <f t="shared" si="68"/>
        <v>7325.5169157306154</v>
      </c>
      <c r="AV43" s="637">
        <f t="shared" si="68"/>
        <v>7472.0272540452279</v>
      </c>
      <c r="AW43" s="637">
        <f t="shared" si="68"/>
        <v>7621.4677991261324</v>
      </c>
      <c r="AX43" s="637">
        <f t="shared" si="68"/>
        <v>7773.8971551086552</v>
      </c>
      <c r="AY43" s="637">
        <f t="shared" si="68"/>
        <v>7929.3750982108286</v>
      </c>
      <c r="AZ43" s="637">
        <f t="shared" si="68"/>
        <v>8087.9626001750448</v>
      </c>
      <c r="BA43" s="637">
        <f t="shared" si="68"/>
        <v>8249.7218521785453</v>
      </c>
      <c r="BB43" s="637">
        <f t="shared" si="68"/>
        <v>8414.7162892221168</v>
      </c>
      <c r="BC43" s="637">
        <f t="shared" si="68"/>
        <v>8583.0106150065585</v>
      </c>
      <c r="BD43" s="637">
        <f t="shared" si="68"/>
        <v>8754.6708273066888</v>
      </c>
    </row>
    <row r="44" spans="1:56" s="151" customFormat="1" x14ac:dyDescent="0.25">
      <c r="B44" s="176"/>
      <c r="I44" s="153"/>
      <c r="N44" s="221"/>
    </row>
    <row r="45" spans="1:56" s="151" customFormat="1" x14ac:dyDescent="0.25">
      <c r="A45" s="3" t="s">
        <v>395</v>
      </c>
      <c r="B45" s="131">
        <f>B38</f>
        <v>44593</v>
      </c>
      <c r="C45" s="131">
        <f t="shared" ref="C45:BD45" si="69">C38</f>
        <v>44624</v>
      </c>
      <c r="D45" s="131">
        <f t="shared" si="69"/>
        <v>44655</v>
      </c>
      <c r="E45" s="131">
        <f t="shared" si="69"/>
        <v>44686</v>
      </c>
      <c r="F45" s="131">
        <f t="shared" si="69"/>
        <v>44717</v>
      </c>
      <c r="G45" s="131">
        <f t="shared" si="69"/>
        <v>44748</v>
      </c>
      <c r="H45" s="131">
        <f t="shared" si="69"/>
        <v>44779</v>
      </c>
      <c r="I45" s="131">
        <f t="shared" si="69"/>
        <v>44810</v>
      </c>
      <c r="J45" s="131">
        <f t="shared" si="69"/>
        <v>44841</v>
      </c>
      <c r="K45" s="131">
        <f t="shared" si="69"/>
        <v>44872</v>
      </c>
      <c r="L45" s="131">
        <f t="shared" si="69"/>
        <v>44903</v>
      </c>
      <c r="M45" s="131">
        <f t="shared" si="69"/>
        <v>44934</v>
      </c>
      <c r="N45" s="131">
        <f t="shared" si="69"/>
        <v>44965</v>
      </c>
      <c r="O45" s="131">
        <f t="shared" si="69"/>
        <v>44996</v>
      </c>
      <c r="P45" s="131">
        <f t="shared" si="69"/>
        <v>45027</v>
      </c>
      <c r="Q45" s="131">
        <f t="shared" si="69"/>
        <v>45058</v>
      </c>
      <c r="R45" s="131">
        <f t="shared" si="69"/>
        <v>45089</v>
      </c>
      <c r="S45" s="131">
        <f t="shared" si="69"/>
        <v>45120</v>
      </c>
      <c r="T45" s="131">
        <f t="shared" si="69"/>
        <v>45151</v>
      </c>
      <c r="U45" s="131">
        <f t="shared" si="69"/>
        <v>45182</v>
      </c>
      <c r="V45" s="131">
        <f t="shared" si="69"/>
        <v>45213</v>
      </c>
      <c r="W45" s="131">
        <f t="shared" si="69"/>
        <v>45244</v>
      </c>
      <c r="X45" s="131">
        <f t="shared" si="69"/>
        <v>45275</v>
      </c>
      <c r="Y45" s="131">
        <f t="shared" si="69"/>
        <v>45306</v>
      </c>
      <c r="Z45" s="131">
        <f t="shared" si="69"/>
        <v>45337</v>
      </c>
      <c r="AA45" s="131">
        <f t="shared" si="69"/>
        <v>45368</v>
      </c>
      <c r="AB45" s="131">
        <f t="shared" si="69"/>
        <v>45399</v>
      </c>
      <c r="AC45" s="131">
        <f t="shared" si="69"/>
        <v>45430</v>
      </c>
      <c r="AD45" s="131">
        <f t="shared" si="69"/>
        <v>45461</v>
      </c>
      <c r="AE45" s="131">
        <f t="shared" si="69"/>
        <v>45492</v>
      </c>
      <c r="AF45" s="131">
        <f t="shared" si="69"/>
        <v>45523</v>
      </c>
      <c r="AG45" s="131">
        <f t="shared" si="69"/>
        <v>45554</v>
      </c>
      <c r="AH45" s="131">
        <f t="shared" si="69"/>
        <v>45585</v>
      </c>
      <c r="AI45" s="131">
        <f t="shared" si="69"/>
        <v>45616</v>
      </c>
      <c r="AJ45" s="131">
        <f t="shared" si="69"/>
        <v>45647</v>
      </c>
      <c r="AK45" s="131">
        <f t="shared" si="69"/>
        <v>45678</v>
      </c>
      <c r="AL45" s="131">
        <f t="shared" si="69"/>
        <v>45709</v>
      </c>
      <c r="AM45" s="131">
        <f t="shared" si="69"/>
        <v>45740</v>
      </c>
      <c r="AN45" s="131">
        <f t="shared" si="69"/>
        <v>45771</v>
      </c>
      <c r="AO45" s="131">
        <f t="shared" si="69"/>
        <v>45802</v>
      </c>
      <c r="AP45" s="131">
        <f t="shared" si="69"/>
        <v>45833</v>
      </c>
      <c r="AQ45" s="131">
        <f t="shared" si="69"/>
        <v>45864</v>
      </c>
      <c r="AR45" s="131">
        <f t="shared" si="69"/>
        <v>45895</v>
      </c>
      <c r="AS45" s="131">
        <f t="shared" si="69"/>
        <v>45926</v>
      </c>
      <c r="AT45" s="131">
        <f t="shared" si="69"/>
        <v>45957</v>
      </c>
      <c r="AU45" s="131">
        <f t="shared" si="69"/>
        <v>45988</v>
      </c>
      <c r="AV45" s="131">
        <f t="shared" si="69"/>
        <v>46019</v>
      </c>
      <c r="AW45" s="131">
        <f t="shared" si="69"/>
        <v>46050</v>
      </c>
      <c r="AX45" s="131">
        <f t="shared" si="69"/>
        <v>46081</v>
      </c>
      <c r="AY45" s="131">
        <f t="shared" si="69"/>
        <v>46112</v>
      </c>
      <c r="AZ45" s="131">
        <f t="shared" si="69"/>
        <v>46143</v>
      </c>
      <c r="BA45" s="131">
        <f t="shared" si="69"/>
        <v>46174</v>
      </c>
      <c r="BB45" s="131">
        <f t="shared" si="69"/>
        <v>46205</v>
      </c>
      <c r="BC45" s="131">
        <f t="shared" si="69"/>
        <v>46236</v>
      </c>
      <c r="BD45" s="131">
        <f t="shared" si="69"/>
        <v>46267</v>
      </c>
    </row>
    <row r="46" spans="1:56" s="151" customFormat="1" outlineLevel="1" x14ac:dyDescent="0.25">
      <c r="A46" s="151" t="str">
        <f>F24</f>
        <v>Small shops</v>
      </c>
      <c r="B46" s="158">
        <f t="shared" ref="B46:AG46" si="70">B40*$I$24*$I$29</f>
        <v>0</v>
      </c>
      <c r="C46" s="158">
        <f t="shared" si="70"/>
        <v>0</v>
      </c>
      <c r="D46" s="158">
        <f t="shared" si="70"/>
        <v>0</v>
      </c>
      <c r="E46" s="158">
        <f t="shared" si="70"/>
        <v>0</v>
      </c>
      <c r="F46" s="158">
        <f t="shared" si="70"/>
        <v>669653.82877399004</v>
      </c>
      <c r="G46" s="158">
        <f t="shared" si="70"/>
        <v>683046.90534946986</v>
      </c>
      <c r="H46" s="158">
        <f t="shared" si="70"/>
        <v>696707.84345645923</v>
      </c>
      <c r="I46" s="158">
        <f t="shared" si="70"/>
        <v>710642.00032558839</v>
      </c>
      <c r="J46" s="158">
        <f t="shared" si="70"/>
        <v>724854.84033210005</v>
      </c>
      <c r="K46" s="158">
        <f t="shared" si="70"/>
        <v>739351.93713874195</v>
      </c>
      <c r="L46" s="158">
        <f t="shared" si="70"/>
        <v>754138.97588151693</v>
      </c>
      <c r="M46" s="158">
        <f t="shared" si="70"/>
        <v>769221.75539914728</v>
      </c>
      <c r="N46" s="158">
        <f t="shared" si="70"/>
        <v>784606.19050713023</v>
      </c>
      <c r="O46" s="158">
        <f t="shared" si="70"/>
        <v>800298.31431727286</v>
      </c>
      <c r="P46" s="158">
        <f t="shared" si="70"/>
        <v>816304.28060361824</v>
      </c>
      <c r="Q46" s="158">
        <f t="shared" si="70"/>
        <v>832630.36621569062</v>
      </c>
      <c r="R46" s="158">
        <f t="shared" si="70"/>
        <v>849282.97354000458</v>
      </c>
      <c r="S46" s="158">
        <f t="shared" si="70"/>
        <v>866268.63301080454</v>
      </c>
      <c r="T46" s="158">
        <f t="shared" si="70"/>
        <v>883594.0056710206</v>
      </c>
      <c r="U46" s="158">
        <f t="shared" si="70"/>
        <v>901265.88578444102</v>
      </c>
      <c r="V46" s="158">
        <f t="shared" si="70"/>
        <v>919291.20350012986</v>
      </c>
      <c r="W46" s="158">
        <f t="shared" si="70"/>
        <v>937677.0275701324</v>
      </c>
      <c r="X46" s="158">
        <f t="shared" si="70"/>
        <v>956430.56812153489</v>
      </c>
      <c r="Y46" s="158">
        <f t="shared" si="70"/>
        <v>975559.17948396562</v>
      </c>
      <c r="Z46" s="158">
        <f t="shared" si="70"/>
        <v>995070.36307364516</v>
      </c>
      <c r="AA46" s="158">
        <f t="shared" si="70"/>
        <v>1014971.7703351181</v>
      </c>
      <c r="AB46" s="158">
        <f t="shared" si="70"/>
        <v>1035271.2057418204</v>
      </c>
      <c r="AC46" s="158">
        <f t="shared" si="70"/>
        <v>1055976.6298566568</v>
      </c>
      <c r="AD46" s="158">
        <f t="shared" si="70"/>
        <v>1077096.16245379</v>
      </c>
      <c r="AE46" s="158">
        <f t="shared" si="70"/>
        <v>1098638.0857028656</v>
      </c>
      <c r="AF46" s="158">
        <f t="shared" si="70"/>
        <v>1120610.8474169231</v>
      </c>
      <c r="AG46" s="158">
        <f t="shared" si="70"/>
        <v>1143023.0643652615</v>
      </c>
      <c r="AH46" s="158">
        <f t="shared" ref="AH46:BD46" si="71">AH40*$I$24*$I$29</f>
        <v>1165883.5256525667</v>
      </c>
      <c r="AI46" s="158">
        <f t="shared" si="71"/>
        <v>1189201.196165618</v>
      </c>
      <c r="AJ46" s="158">
        <f t="shared" si="71"/>
        <v>1212985.2200889303</v>
      </c>
      <c r="AK46" s="158">
        <f t="shared" si="71"/>
        <v>1237244.9244907089</v>
      </c>
      <c r="AL46" s="158">
        <f t="shared" si="71"/>
        <v>1261989.8229805233</v>
      </c>
      <c r="AM46" s="158">
        <f t="shared" si="71"/>
        <v>1287229.6194401337</v>
      </c>
      <c r="AN46" s="158">
        <f t="shared" si="71"/>
        <v>1312974.2118289364</v>
      </c>
      <c r="AO46" s="158">
        <f t="shared" si="71"/>
        <v>1339233.696065515</v>
      </c>
      <c r="AP46" s="158">
        <f t="shared" si="71"/>
        <v>1366018.3699868254</v>
      </c>
      <c r="AQ46" s="158">
        <f t="shared" si="71"/>
        <v>1393338.7373865619</v>
      </c>
      <c r="AR46" s="158">
        <f t="shared" si="71"/>
        <v>1421205.5121342931</v>
      </c>
      <c r="AS46" s="158">
        <f t="shared" si="71"/>
        <v>1449629.6223769791</v>
      </c>
      <c r="AT46" s="158">
        <f t="shared" si="71"/>
        <v>1478622.2148245187</v>
      </c>
      <c r="AU46" s="158">
        <f t="shared" si="71"/>
        <v>1508194.6591210088</v>
      </c>
      <c r="AV46" s="158">
        <f t="shared" si="71"/>
        <v>1538358.552303429</v>
      </c>
      <c r="AW46" s="158">
        <f t="shared" si="71"/>
        <v>1569125.7233494979</v>
      </c>
      <c r="AX46" s="158">
        <f t="shared" si="71"/>
        <v>1600508.2378164877</v>
      </c>
      <c r="AY46" s="158">
        <f t="shared" si="71"/>
        <v>1632518.4025728174</v>
      </c>
      <c r="AZ46" s="158">
        <f t="shared" si="71"/>
        <v>1665168.7706242742</v>
      </c>
      <c r="BA46" s="158">
        <f t="shared" si="71"/>
        <v>1698472.1460367593</v>
      </c>
      <c r="BB46" s="158">
        <f t="shared" si="71"/>
        <v>1732441.5889574946</v>
      </c>
      <c r="BC46" s="158">
        <f t="shared" si="71"/>
        <v>1767090.4207366444</v>
      </c>
      <c r="BD46" s="158">
        <f t="shared" si="71"/>
        <v>1802432.229151377</v>
      </c>
    </row>
    <row r="47" spans="1:56" s="151" customFormat="1" outlineLevel="1" x14ac:dyDescent="0.25">
      <c r="A47" s="151" t="str">
        <f>F25</f>
        <v>Medium shops</v>
      </c>
      <c r="B47" s="158">
        <f t="shared" ref="B47:AG47" si="72">B41*$I$25*$I$30</f>
        <v>0</v>
      </c>
      <c r="C47" s="158">
        <f t="shared" si="72"/>
        <v>0</v>
      </c>
      <c r="D47" s="158">
        <f t="shared" si="72"/>
        <v>0</v>
      </c>
      <c r="E47" s="158">
        <f t="shared" si="72"/>
        <v>0</v>
      </c>
      <c r="F47" s="158">
        <f t="shared" si="72"/>
        <v>23916.208170499645</v>
      </c>
      <c r="G47" s="158">
        <f t="shared" si="72"/>
        <v>24394.532333909636</v>
      </c>
      <c r="H47" s="158">
        <f t="shared" si="72"/>
        <v>24882.422980587831</v>
      </c>
      <c r="I47" s="158">
        <f t="shared" si="72"/>
        <v>25380.071440199587</v>
      </c>
      <c r="J47" s="158">
        <f t="shared" si="72"/>
        <v>25887.672869003574</v>
      </c>
      <c r="K47" s="158">
        <f t="shared" si="72"/>
        <v>26405.426326383651</v>
      </c>
      <c r="L47" s="158">
        <f t="shared" si="72"/>
        <v>26933.534852911318</v>
      </c>
      <c r="M47" s="158">
        <f t="shared" si="72"/>
        <v>27472.205549969549</v>
      </c>
      <c r="N47" s="158">
        <f t="shared" si="72"/>
        <v>28021.649660968942</v>
      </c>
      <c r="O47" s="158">
        <f t="shared" si="72"/>
        <v>28582.082654188318</v>
      </c>
      <c r="P47" s="158">
        <f t="shared" si="72"/>
        <v>29153.724307272085</v>
      </c>
      <c r="Q47" s="158">
        <f t="shared" si="72"/>
        <v>29736.798793417525</v>
      </c>
      <c r="R47" s="158">
        <f t="shared" si="72"/>
        <v>30331.534769285878</v>
      </c>
      <c r="S47" s="158">
        <f t="shared" si="72"/>
        <v>30938.165464671591</v>
      </c>
      <c r="T47" s="158">
        <f t="shared" si="72"/>
        <v>31556.928773965021</v>
      </c>
      <c r="U47" s="158">
        <f t="shared" si="72"/>
        <v>32188.067349444325</v>
      </c>
      <c r="V47" s="158">
        <f t="shared" si="72"/>
        <v>32831.828696433207</v>
      </c>
      <c r="W47" s="158">
        <f t="shared" si="72"/>
        <v>33488.465270361878</v>
      </c>
      <c r="X47" s="158">
        <f t="shared" si="72"/>
        <v>34158.234575769107</v>
      </c>
      <c r="Y47" s="158">
        <f t="shared" si="72"/>
        <v>34841.399267284491</v>
      </c>
      <c r="Z47" s="158">
        <f t="shared" si="72"/>
        <v>35538.227252630189</v>
      </c>
      <c r="AA47" s="158">
        <f t="shared" si="72"/>
        <v>36248.991797682786</v>
      </c>
      <c r="AB47" s="158">
        <f t="shared" si="72"/>
        <v>36973.971633636444</v>
      </c>
      <c r="AC47" s="158">
        <f t="shared" si="72"/>
        <v>37713.451066309171</v>
      </c>
      <c r="AD47" s="158">
        <f t="shared" si="72"/>
        <v>38467.72008763536</v>
      </c>
      <c r="AE47" s="158">
        <f t="shared" si="72"/>
        <v>39237.074489388069</v>
      </c>
      <c r="AF47" s="158">
        <f t="shared" si="72"/>
        <v>40021.81597917583</v>
      </c>
      <c r="AG47" s="158">
        <f t="shared" si="72"/>
        <v>40822.252298759347</v>
      </c>
      <c r="AH47" s="158">
        <f t="shared" ref="AH47:BD47" si="73">AH41*$I$25*$I$30</f>
        <v>41638.69734473453</v>
      </c>
      <c r="AI47" s="158">
        <f t="shared" si="73"/>
        <v>42471.471291629219</v>
      </c>
      <c r="AJ47" s="158">
        <f t="shared" si="73"/>
        <v>43320.900717461802</v>
      </c>
      <c r="AK47" s="158">
        <f t="shared" si="73"/>
        <v>44187.318731811036</v>
      </c>
      <c r="AL47" s="158">
        <f t="shared" si="73"/>
        <v>45071.065106447262</v>
      </c>
      <c r="AM47" s="158">
        <f t="shared" si="73"/>
        <v>45972.486408576209</v>
      </c>
      <c r="AN47" s="158">
        <f t="shared" si="73"/>
        <v>46891.936136747732</v>
      </c>
      <c r="AO47" s="158">
        <f t="shared" si="73"/>
        <v>47829.774859482692</v>
      </c>
      <c r="AP47" s="158">
        <f t="shared" si="73"/>
        <v>48786.370356672342</v>
      </c>
      <c r="AQ47" s="158">
        <f t="shared" si="73"/>
        <v>49762.097763805788</v>
      </c>
      <c r="AR47" s="158">
        <f t="shared" si="73"/>
        <v>50757.339719081901</v>
      </c>
      <c r="AS47" s="158">
        <f t="shared" si="73"/>
        <v>51772.48651346354</v>
      </c>
      <c r="AT47" s="158">
        <f t="shared" si="73"/>
        <v>52807.936243732816</v>
      </c>
      <c r="AU47" s="158">
        <f t="shared" si="73"/>
        <v>53864.094968607467</v>
      </c>
      <c r="AV47" s="158">
        <f t="shared" si="73"/>
        <v>54941.376867979619</v>
      </c>
      <c r="AW47" s="158">
        <f t="shared" si="73"/>
        <v>56040.204405339216</v>
      </c>
      <c r="AX47" s="158">
        <f t="shared" si="73"/>
        <v>57161.008493445996</v>
      </c>
      <c r="AY47" s="158">
        <f t="shared" si="73"/>
        <v>58304.228663314912</v>
      </c>
      <c r="AZ47" s="158">
        <f t="shared" si="73"/>
        <v>59470.31323658122</v>
      </c>
      <c r="BA47" s="158">
        <f t="shared" si="73"/>
        <v>60659.719501312837</v>
      </c>
      <c r="BB47" s="158">
        <f t="shared" si="73"/>
        <v>61872.913891339093</v>
      </c>
      <c r="BC47" s="158">
        <f t="shared" si="73"/>
        <v>63110.372169165879</v>
      </c>
      <c r="BD47" s="158">
        <f t="shared" si="73"/>
        <v>64372.579612549191</v>
      </c>
    </row>
    <row r="48" spans="1:56" s="151" customFormat="1" outlineLevel="1" x14ac:dyDescent="0.25">
      <c r="A48" s="151" t="str">
        <f>F26</f>
        <v>Large shops</v>
      </c>
      <c r="B48" s="158">
        <f t="shared" ref="B48:AG48" si="74">B42*$I$26*$I$31</f>
        <v>0</v>
      </c>
      <c r="C48" s="158">
        <f t="shared" si="74"/>
        <v>0</v>
      </c>
      <c r="D48" s="158">
        <f t="shared" si="74"/>
        <v>0</v>
      </c>
      <c r="E48" s="158">
        <f t="shared" si="74"/>
        <v>0</v>
      </c>
      <c r="F48" s="158">
        <f t="shared" si="74"/>
        <v>1626302.1555939759</v>
      </c>
      <c r="G48" s="158">
        <f t="shared" si="74"/>
        <v>1658828.1987058555</v>
      </c>
      <c r="H48" s="158">
        <f t="shared" si="74"/>
        <v>1692004.7626799727</v>
      </c>
      <c r="I48" s="158">
        <f t="shared" si="74"/>
        <v>1725844.857933572</v>
      </c>
      <c r="J48" s="158">
        <f t="shared" si="74"/>
        <v>1760361.7550922432</v>
      </c>
      <c r="K48" s="158">
        <f t="shared" si="74"/>
        <v>1795568.9901940878</v>
      </c>
      <c r="L48" s="158">
        <f t="shared" si="74"/>
        <v>1831480.3699979698</v>
      </c>
      <c r="M48" s="158">
        <f t="shared" si="74"/>
        <v>1868109.9773979292</v>
      </c>
      <c r="N48" s="158">
        <f t="shared" si="74"/>
        <v>1905472.176945888</v>
      </c>
      <c r="O48" s="158">
        <f t="shared" si="74"/>
        <v>1943581.6204848057</v>
      </c>
      <c r="P48" s="158">
        <f t="shared" si="74"/>
        <v>1982453.2528945019</v>
      </c>
      <c r="Q48" s="158">
        <f t="shared" si="74"/>
        <v>2022102.3179523919</v>
      </c>
      <c r="R48" s="158">
        <f t="shared" si="74"/>
        <v>2062544.3643114397</v>
      </c>
      <c r="S48" s="158">
        <f t="shared" si="74"/>
        <v>2103795.2515976685</v>
      </c>
      <c r="T48" s="158">
        <f t="shared" si="74"/>
        <v>2145871.1566296215</v>
      </c>
      <c r="U48" s="158">
        <f t="shared" si="74"/>
        <v>2188788.5797622143</v>
      </c>
      <c r="V48" s="158">
        <f t="shared" si="74"/>
        <v>2232564.3513574582</v>
      </c>
      <c r="W48" s="158">
        <f t="shared" si="74"/>
        <v>2277215.6383846072</v>
      </c>
      <c r="X48" s="158">
        <f t="shared" si="74"/>
        <v>2322759.9511522995</v>
      </c>
      <c r="Y48" s="158">
        <f t="shared" si="74"/>
        <v>2369215.1501753456</v>
      </c>
      <c r="Z48" s="158">
        <f t="shared" si="74"/>
        <v>2416599.4531788523</v>
      </c>
      <c r="AA48" s="158">
        <f t="shared" si="74"/>
        <v>2464931.4422424296</v>
      </c>
      <c r="AB48" s="158">
        <f t="shared" si="74"/>
        <v>2514230.0710872784</v>
      </c>
      <c r="AC48" s="158">
        <f t="shared" si="74"/>
        <v>2564514.6725090239</v>
      </c>
      <c r="AD48" s="158">
        <f t="shared" si="74"/>
        <v>2615804.9659592044</v>
      </c>
      <c r="AE48" s="158">
        <f t="shared" si="74"/>
        <v>2668121.0652783886</v>
      </c>
      <c r="AF48" s="158">
        <f t="shared" si="74"/>
        <v>2721483.4865839565</v>
      </c>
      <c r="AG48" s="158">
        <f t="shared" si="74"/>
        <v>2775913.1563156354</v>
      </c>
      <c r="AH48" s="158">
        <f t="shared" ref="AH48:BD48" si="75">AH42*$I$26*$I$31</f>
        <v>2831431.4194419482</v>
      </c>
      <c r="AI48" s="158">
        <f t="shared" si="75"/>
        <v>2888060.047830787</v>
      </c>
      <c r="AJ48" s="158">
        <f t="shared" si="75"/>
        <v>2945821.2487874026</v>
      </c>
      <c r="AK48" s="158">
        <f t="shared" si="75"/>
        <v>3004737.6737631508</v>
      </c>
      <c r="AL48" s="158">
        <f t="shared" si="75"/>
        <v>3064832.4272384141</v>
      </c>
      <c r="AM48" s="158">
        <f t="shared" si="75"/>
        <v>3126129.0757831819</v>
      </c>
      <c r="AN48" s="158">
        <f t="shared" si="75"/>
        <v>3188651.6572988462</v>
      </c>
      <c r="AO48" s="158">
        <f t="shared" si="75"/>
        <v>3252424.6904448229</v>
      </c>
      <c r="AP48" s="158">
        <f t="shared" si="75"/>
        <v>3317473.1842537196</v>
      </c>
      <c r="AQ48" s="158">
        <f t="shared" si="75"/>
        <v>3383822.647938794</v>
      </c>
      <c r="AR48" s="158">
        <f t="shared" si="75"/>
        <v>3451499.1008975692</v>
      </c>
      <c r="AS48" s="158">
        <f t="shared" si="75"/>
        <v>3520529.0829155208</v>
      </c>
      <c r="AT48" s="158">
        <f t="shared" si="75"/>
        <v>3590939.6645738315</v>
      </c>
      <c r="AU48" s="158">
        <f t="shared" si="75"/>
        <v>3662758.4578653076</v>
      </c>
      <c r="AV48" s="158">
        <f t="shared" si="75"/>
        <v>3736013.6270226138</v>
      </c>
      <c r="AW48" s="158">
        <f t="shared" si="75"/>
        <v>3810733.8995630662</v>
      </c>
      <c r="AX48" s="158">
        <f t="shared" si="75"/>
        <v>3886948.5775543274</v>
      </c>
      <c r="AY48" s="158">
        <f t="shared" si="75"/>
        <v>3964687.5491054142</v>
      </c>
      <c r="AZ48" s="158">
        <f t="shared" si="75"/>
        <v>4043981.3000875227</v>
      </c>
      <c r="BA48" s="158">
        <f t="shared" si="75"/>
        <v>4124860.9260892728</v>
      </c>
      <c r="BB48" s="158">
        <f t="shared" si="75"/>
        <v>4207358.1446110588</v>
      </c>
      <c r="BC48" s="158">
        <f t="shared" si="75"/>
        <v>4291505.3075032793</v>
      </c>
      <c r="BD48" s="158">
        <f t="shared" si="75"/>
        <v>4377335.4136533448</v>
      </c>
    </row>
    <row r="49" spans="1:56" s="151" customFormat="1" x14ac:dyDescent="0.25">
      <c r="A49" s="218" t="s">
        <v>393</v>
      </c>
      <c r="B49" s="223">
        <f>SUM(B46:B48)</f>
        <v>0</v>
      </c>
      <c r="C49" s="223">
        <f t="shared" ref="C49:BD49" si="76">SUM(C46:C48)</f>
        <v>0</v>
      </c>
      <c r="D49" s="223">
        <f t="shared" si="76"/>
        <v>0</v>
      </c>
      <c r="E49" s="223">
        <f t="shared" si="76"/>
        <v>0</v>
      </c>
      <c r="F49" s="223">
        <f t="shared" si="76"/>
        <v>2319872.1925384654</v>
      </c>
      <c r="G49" s="223">
        <f t="shared" si="76"/>
        <v>2366269.636389235</v>
      </c>
      <c r="H49" s="223">
        <f t="shared" si="76"/>
        <v>2413595.0291170198</v>
      </c>
      <c r="I49" s="223">
        <f t="shared" si="76"/>
        <v>2461866.9296993599</v>
      </c>
      <c r="J49" s="223">
        <f t="shared" si="76"/>
        <v>2511104.2682933467</v>
      </c>
      <c r="K49" s="223">
        <f t="shared" si="76"/>
        <v>2561326.3536592135</v>
      </c>
      <c r="L49" s="223">
        <f t="shared" si="76"/>
        <v>2612552.880732398</v>
      </c>
      <c r="M49" s="223">
        <f t="shared" si="76"/>
        <v>2664803.9383470463</v>
      </c>
      <c r="N49" s="223">
        <f t="shared" si="76"/>
        <v>2718100.0171139874</v>
      </c>
      <c r="O49" s="223">
        <f t="shared" si="76"/>
        <v>2772462.017456267</v>
      </c>
      <c r="P49" s="223">
        <f t="shared" si="76"/>
        <v>2827911.2578053921</v>
      </c>
      <c r="Q49" s="223">
        <f t="shared" si="76"/>
        <v>2884469.4829615001</v>
      </c>
      <c r="R49" s="223">
        <f t="shared" si="76"/>
        <v>2942158.8726207302</v>
      </c>
      <c r="S49" s="223">
        <f t="shared" si="76"/>
        <v>3001002.0500731445</v>
      </c>
      <c r="T49" s="223">
        <f t="shared" si="76"/>
        <v>3061022.0910746073</v>
      </c>
      <c r="U49" s="223">
        <f t="shared" si="76"/>
        <v>3122242.5328960996</v>
      </c>
      <c r="V49" s="223">
        <f t="shared" si="76"/>
        <v>3184687.3835540214</v>
      </c>
      <c r="W49" s="223">
        <f t="shared" si="76"/>
        <v>3248381.1312251016</v>
      </c>
      <c r="X49" s="223">
        <f t="shared" si="76"/>
        <v>3313348.7538496032</v>
      </c>
      <c r="Y49" s="223">
        <f t="shared" si="76"/>
        <v>3379615.7289265958</v>
      </c>
      <c r="Z49" s="223">
        <f t="shared" si="76"/>
        <v>3447208.0435051275</v>
      </c>
      <c r="AA49" s="223">
        <f t="shared" si="76"/>
        <v>3516152.2043752307</v>
      </c>
      <c r="AB49" s="223">
        <f t="shared" si="76"/>
        <v>3586475.2484627352</v>
      </c>
      <c r="AC49" s="223">
        <f t="shared" si="76"/>
        <v>3658204.7534319898</v>
      </c>
      <c r="AD49" s="223">
        <f t="shared" si="76"/>
        <v>3731368.8485006299</v>
      </c>
      <c r="AE49" s="223">
        <f t="shared" si="76"/>
        <v>3805996.2254706426</v>
      </c>
      <c r="AF49" s="223">
        <f t="shared" si="76"/>
        <v>3882116.1499800552</v>
      </c>
      <c r="AG49" s="223">
        <f t="shared" si="76"/>
        <v>3959758.4729796564</v>
      </c>
      <c r="AH49" s="223">
        <f t="shared" si="76"/>
        <v>4038953.6424392494</v>
      </c>
      <c r="AI49" s="223">
        <f t="shared" si="76"/>
        <v>4119732.7152880342</v>
      </c>
      <c r="AJ49" s="223">
        <f t="shared" si="76"/>
        <v>4202127.3695937945</v>
      </c>
      <c r="AK49" s="223">
        <f t="shared" si="76"/>
        <v>4286169.916985671</v>
      </c>
      <c r="AL49" s="223">
        <f t="shared" si="76"/>
        <v>4371893.315325385</v>
      </c>
      <c r="AM49" s="223">
        <f t="shared" si="76"/>
        <v>4459331.181631892</v>
      </c>
      <c r="AN49" s="223">
        <f t="shared" si="76"/>
        <v>4548517.8052645307</v>
      </c>
      <c r="AO49" s="223">
        <f t="shared" si="76"/>
        <v>4639488.1613698211</v>
      </c>
      <c r="AP49" s="223">
        <f t="shared" si="76"/>
        <v>4732277.9245972177</v>
      </c>
      <c r="AQ49" s="223">
        <f t="shared" si="76"/>
        <v>4826923.483089162</v>
      </c>
      <c r="AR49" s="223">
        <f t="shared" si="76"/>
        <v>4923461.9527509445</v>
      </c>
      <c r="AS49" s="223">
        <f t="shared" si="76"/>
        <v>5021931.1918059634</v>
      </c>
      <c r="AT49" s="223">
        <f t="shared" si="76"/>
        <v>5122369.8156420831</v>
      </c>
      <c r="AU49" s="223">
        <f t="shared" si="76"/>
        <v>5224817.2119549233</v>
      </c>
      <c r="AV49" s="223">
        <f t="shared" si="76"/>
        <v>5329313.5561940223</v>
      </c>
      <c r="AW49" s="223">
        <f t="shared" si="76"/>
        <v>5435899.8273179028</v>
      </c>
      <c r="AX49" s="223">
        <f t="shared" si="76"/>
        <v>5544617.8238642607</v>
      </c>
      <c r="AY49" s="223">
        <f t="shared" si="76"/>
        <v>5655510.1803415464</v>
      </c>
      <c r="AZ49" s="223">
        <f t="shared" si="76"/>
        <v>5768620.3839483783</v>
      </c>
      <c r="BA49" s="223">
        <f t="shared" si="76"/>
        <v>5883992.7916273447</v>
      </c>
      <c r="BB49" s="223">
        <f t="shared" si="76"/>
        <v>6001672.6474598926</v>
      </c>
      <c r="BC49" s="223">
        <f t="shared" si="76"/>
        <v>6121706.1004090896</v>
      </c>
      <c r="BD49" s="223">
        <f t="shared" si="76"/>
        <v>6244140.2224172708</v>
      </c>
    </row>
    <row r="50" spans="1:56" s="151" customFormat="1" x14ac:dyDescent="0.25">
      <c r="B50" s="155"/>
    </row>
    <row r="51" spans="1:56" s="151" customFormat="1" x14ac:dyDescent="0.25">
      <c r="A51" s="23" t="s">
        <v>54</v>
      </c>
      <c r="B51" s="24">
        <f>B45</f>
        <v>44593</v>
      </c>
      <c r="C51" s="24">
        <f t="shared" ref="C51:BD51" si="77">C45</f>
        <v>44624</v>
      </c>
      <c r="D51" s="24">
        <f t="shared" si="77"/>
        <v>44655</v>
      </c>
      <c r="E51" s="24">
        <f t="shared" si="77"/>
        <v>44686</v>
      </c>
      <c r="F51" s="24">
        <f t="shared" si="77"/>
        <v>44717</v>
      </c>
      <c r="G51" s="24">
        <f t="shared" si="77"/>
        <v>44748</v>
      </c>
      <c r="H51" s="24">
        <f t="shared" si="77"/>
        <v>44779</v>
      </c>
      <c r="I51" s="24">
        <f t="shared" si="77"/>
        <v>44810</v>
      </c>
      <c r="J51" s="24">
        <f t="shared" si="77"/>
        <v>44841</v>
      </c>
      <c r="K51" s="24">
        <f t="shared" si="77"/>
        <v>44872</v>
      </c>
      <c r="L51" s="24">
        <f t="shared" si="77"/>
        <v>44903</v>
      </c>
      <c r="M51" s="24">
        <f t="shared" si="77"/>
        <v>44934</v>
      </c>
      <c r="N51" s="24">
        <f t="shared" si="77"/>
        <v>44965</v>
      </c>
      <c r="O51" s="24">
        <f t="shared" si="77"/>
        <v>44996</v>
      </c>
      <c r="P51" s="24">
        <f t="shared" si="77"/>
        <v>45027</v>
      </c>
      <c r="Q51" s="24">
        <f t="shared" si="77"/>
        <v>45058</v>
      </c>
      <c r="R51" s="24">
        <f t="shared" si="77"/>
        <v>45089</v>
      </c>
      <c r="S51" s="24">
        <f t="shared" si="77"/>
        <v>45120</v>
      </c>
      <c r="T51" s="24">
        <f t="shared" si="77"/>
        <v>45151</v>
      </c>
      <c r="U51" s="24">
        <f t="shared" si="77"/>
        <v>45182</v>
      </c>
      <c r="V51" s="24">
        <f t="shared" si="77"/>
        <v>45213</v>
      </c>
      <c r="W51" s="24">
        <f t="shared" si="77"/>
        <v>45244</v>
      </c>
      <c r="X51" s="24">
        <f t="shared" si="77"/>
        <v>45275</v>
      </c>
      <c r="Y51" s="24">
        <f t="shared" si="77"/>
        <v>45306</v>
      </c>
      <c r="Z51" s="24">
        <f t="shared" si="77"/>
        <v>45337</v>
      </c>
      <c r="AA51" s="24">
        <f t="shared" si="77"/>
        <v>45368</v>
      </c>
      <c r="AB51" s="24">
        <f t="shared" si="77"/>
        <v>45399</v>
      </c>
      <c r="AC51" s="24">
        <f t="shared" si="77"/>
        <v>45430</v>
      </c>
      <c r="AD51" s="24">
        <f t="shared" si="77"/>
        <v>45461</v>
      </c>
      <c r="AE51" s="24">
        <f t="shared" si="77"/>
        <v>45492</v>
      </c>
      <c r="AF51" s="24">
        <f t="shared" si="77"/>
        <v>45523</v>
      </c>
      <c r="AG51" s="24">
        <f t="shared" si="77"/>
        <v>45554</v>
      </c>
      <c r="AH51" s="24">
        <f t="shared" si="77"/>
        <v>45585</v>
      </c>
      <c r="AI51" s="24">
        <f t="shared" si="77"/>
        <v>45616</v>
      </c>
      <c r="AJ51" s="24">
        <f t="shared" si="77"/>
        <v>45647</v>
      </c>
      <c r="AK51" s="24">
        <f t="shared" si="77"/>
        <v>45678</v>
      </c>
      <c r="AL51" s="24">
        <f t="shared" si="77"/>
        <v>45709</v>
      </c>
      <c r="AM51" s="24">
        <f t="shared" si="77"/>
        <v>45740</v>
      </c>
      <c r="AN51" s="24">
        <f t="shared" si="77"/>
        <v>45771</v>
      </c>
      <c r="AO51" s="24">
        <f t="shared" si="77"/>
        <v>45802</v>
      </c>
      <c r="AP51" s="24">
        <f t="shared" si="77"/>
        <v>45833</v>
      </c>
      <c r="AQ51" s="24">
        <f t="shared" si="77"/>
        <v>45864</v>
      </c>
      <c r="AR51" s="24">
        <f t="shared" si="77"/>
        <v>45895</v>
      </c>
      <c r="AS51" s="24">
        <f t="shared" si="77"/>
        <v>45926</v>
      </c>
      <c r="AT51" s="24">
        <f t="shared" si="77"/>
        <v>45957</v>
      </c>
      <c r="AU51" s="24">
        <f t="shared" si="77"/>
        <v>45988</v>
      </c>
      <c r="AV51" s="24">
        <f t="shared" si="77"/>
        <v>46019</v>
      </c>
      <c r="AW51" s="24">
        <f t="shared" si="77"/>
        <v>46050</v>
      </c>
      <c r="AX51" s="24">
        <f t="shared" si="77"/>
        <v>46081</v>
      </c>
      <c r="AY51" s="24">
        <f t="shared" si="77"/>
        <v>46112</v>
      </c>
      <c r="AZ51" s="24">
        <f t="shared" si="77"/>
        <v>46143</v>
      </c>
      <c r="BA51" s="24">
        <f t="shared" si="77"/>
        <v>46174</v>
      </c>
      <c r="BB51" s="24">
        <f t="shared" si="77"/>
        <v>46205</v>
      </c>
      <c r="BC51" s="24">
        <f t="shared" si="77"/>
        <v>46236</v>
      </c>
      <c r="BD51" s="24">
        <f t="shared" si="77"/>
        <v>46267</v>
      </c>
    </row>
    <row r="52" spans="1:56" s="151" customFormat="1" x14ac:dyDescent="0.25">
      <c r="A52" s="18" t="s">
        <v>398</v>
      </c>
      <c r="B52" s="155">
        <f t="shared" ref="B52:AG52" si="78">B49*$B$26</f>
        <v>0</v>
      </c>
      <c r="C52" s="155">
        <f t="shared" si="78"/>
        <v>0</v>
      </c>
      <c r="D52" s="155">
        <f t="shared" si="78"/>
        <v>0</v>
      </c>
      <c r="E52" s="155">
        <f t="shared" si="78"/>
        <v>0</v>
      </c>
      <c r="F52" s="155">
        <f t="shared" si="78"/>
        <v>185589.77540307722</v>
      </c>
      <c r="G52" s="155">
        <f t="shared" si="78"/>
        <v>189301.57091113881</v>
      </c>
      <c r="H52" s="155">
        <f t="shared" si="78"/>
        <v>193087.6023293616</v>
      </c>
      <c r="I52" s="155">
        <f t="shared" si="78"/>
        <v>196949.35437594881</v>
      </c>
      <c r="J52" s="155">
        <f t="shared" si="78"/>
        <v>200888.34146346775</v>
      </c>
      <c r="K52" s="155">
        <f t="shared" si="78"/>
        <v>204906.10829273707</v>
      </c>
      <c r="L52" s="155">
        <f t="shared" si="78"/>
        <v>209004.23045859183</v>
      </c>
      <c r="M52" s="155">
        <f t="shared" si="78"/>
        <v>213184.3150677637</v>
      </c>
      <c r="N52" s="155">
        <f t="shared" si="78"/>
        <v>217448.00136911898</v>
      </c>
      <c r="O52" s="155">
        <f t="shared" si="78"/>
        <v>221796.96139650137</v>
      </c>
      <c r="P52" s="155">
        <f t="shared" si="78"/>
        <v>226232.90062443138</v>
      </c>
      <c r="Q52" s="155">
        <f t="shared" si="78"/>
        <v>230757.55863692</v>
      </c>
      <c r="R52" s="155">
        <f t="shared" si="78"/>
        <v>235372.70980965841</v>
      </c>
      <c r="S52" s="155">
        <f t="shared" si="78"/>
        <v>240080.16400585158</v>
      </c>
      <c r="T52" s="155">
        <f t="shared" si="78"/>
        <v>244881.76728596858</v>
      </c>
      <c r="U52" s="155">
        <f t="shared" si="78"/>
        <v>249779.40263168796</v>
      </c>
      <c r="V52" s="155">
        <f t="shared" si="78"/>
        <v>254774.9906843217</v>
      </c>
      <c r="W52" s="155">
        <f t="shared" si="78"/>
        <v>259870.49049800815</v>
      </c>
      <c r="X52" s="155">
        <f t="shared" si="78"/>
        <v>265067.90030796826</v>
      </c>
      <c r="Y52" s="155">
        <f t="shared" si="78"/>
        <v>270369.25831412768</v>
      </c>
      <c r="Z52" s="155">
        <f t="shared" si="78"/>
        <v>275776.64348041022</v>
      </c>
      <c r="AA52" s="155">
        <f t="shared" si="78"/>
        <v>281292.17635001848</v>
      </c>
      <c r="AB52" s="155">
        <f t="shared" si="78"/>
        <v>286918.01987701881</v>
      </c>
      <c r="AC52" s="155">
        <f t="shared" si="78"/>
        <v>292656.3802745592</v>
      </c>
      <c r="AD52" s="155">
        <f t="shared" si="78"/>
        <v>298509.5078800504</v>
      </c>
      <c r="AE52" s="155">
        <f t="shared" si="78"/>
        <v>304479.69803765143</v>
      </c>
      <c r="AF52" s="155">
        <f t="shared" si="78"/>
        <v>310569.29199840443</v>
      </c>
      <c r="AG52" s="155">
        <f t="shared" si="78"/>
        <v>316780.67783837253</v>
      </c>
      <c r="AH52" s="155">
        <f t="shared" ref="AH52:BD52" si="79">AH49*$B$26</f>
        <v>323116.29139513994</v>
      </c>
      <c r="AI52" s="155">
        <f t="shared" si="79"/>
        <v>329578.61722304276</v>
      </c>
      <c r="AJ52" s="155">
        <f t="shared" si="79"/>
        <v>336170.18956750358</v>
      </c>
      <c r="AK52" s="155">
        <f t="shared" si="79"/>
        <v>342893.59335885372</v>
      </c>
      <c r="AL52" s="155">
        <f t="shared" si="79"/>
        <v>349751.46522603079</v>
      </c>
      <c r="AM52" s="155">
        <f t="shared" si="79"/>
        <v>356746.49453055137</v>
      </c>
      <c r="AN52" s="155">
        <f t="shared" si="79"/>
        <v>363881.42442116246</v>
      </c>
      <c r="AO52" s="155">
        <f t="shared" si="79"/>
        <v>371159.05290958571</v>
      </c>
      <c r="AP52" s="155">
        <f t="shared" si="79"/>
        <v>378582.2339677774</v>
      </c>
      <c r="AQ52" s="155">
        <f t="shared" si="79"/>
        <v>386153.87864713295</v>
      </c>
      <c r="AR52" s="155">
        <f t="shared" si="79"/>
        <v>393876.95622007555</v>
      </c>
      <c r="AS52" s="155">
        <f t="shared" si="79"/>
        <v>401754.49534447707</v>
      </c>
      <c r="AT52" s="155">
        <f t="shared" si="79"/>
        <v>409789.58525136666</v>
      </c>
      <c r="AU52" s="155">
        <f t="shared" si="79"/>
        <v>417985.37695639388</v>
      </c>
      <c r="AV52" s="155">
        <f t="shared" si="79"/>
        <v>426345.08449552179</v>
      </c>
      <c r="AW52" s="155">
        <f t="shared" si="79"/>
        <v>434871.98618543224</v>
      </c>
      <c r="AX52" s="155">
        <f t="shared" si="79"/>
        <v>443569.42590914085</v>
      </c>
      <c r="AY52" s="155">
        <f t="shared" si="79"/>
        <v>452440.8144273237</v>
      </c>
      <c r="AZ52" s="155">
        <f t="shared" si="79"/>
        <v>461489.6307158703</v>
      </c>
      <c r="BA52" s="155">
        <f t="shared" si="79"/>
        <v>470719.42333018756</v>
      </c>
      <c r="BB52" s="155">
        <f t="shared" si="79"/>
        <v>480133.81179679139</v>
      </c>
      <c r="BC52" s="155">
        <f t="shared" si="79"/>
        <v>489736.48803272715</v>
      </c>
      <c r="BD52" s="155">
        <f t="shared" si="79"/>
        <v>499531.21779338166</v>
      </c>
    </row>
    <row r="53" spans="1:56" s="151" customFormat="1" x14ac:dyDescent="0.25">
      <c r="A53" s="150" t="s">
        <v>411</v>
      </c>
      <c r="B53" s="161" t="e">
        <f t="shared" ref="B53:F53" si="80">(B52-A52)/B52</f>
        <v>#VALUE!</v>
      </c>
      <c r="C53" s="161" t="e">
        <f t="shared" si="80"/>
        <v>#DIV/0!</v>
      </c>
      <c r="D53" s="161" t="e">
        <f t="shared" si="80"/>
        <v>#DIV/0!</v>
      </c>
      <c r="E53" s="161" t="e">
        <f t="shared" si="80"/>
        <v>#DIV/0!</v>
      </c>
      <c r="F53" s="161">
        <f t="shared" si="80"/>
        <v>1</v>
      </c>
      <c r="G53" s="161">
        <f>(G52-F52)/G52</f>
        <v>1.9607843137255158E-2</v>
      </c>
      <c r="H53" s="161">
        <f t="shared" ref="H53:BD53" si="81">(H52-G52)/H52</f>
        <v>1.9607843137254964E-2</v>
      </c>
      <c r="I53" s="161">
        <f t="shared" si="81"/>
        <v>1.960784313725478E-2</v>
      </c>
      <c r="J53" s="161">
        <f t="shared" si="81"/>
        <v>1.9607843137254711E-2</v>
      </c>
      <c r="K53" s="161">
        <f t="shared" si="81"/>
        <v>1.960784313725477E-2</v>
      </c>
      <c r="L53" s="161">
        <f t="shared" si="81"/>
        <v>1.9607843137254981E-2</v>
      </c>
      <c r="M53" s="161">
        <f t="shared" si="81"/>
        <v>1.9607843137255058E-2</v>
      </c>
      <c r="N53" s="161">
        <f t="shared" si="81"/>
        <v>1.9607843137254926E-2</v>
      </c>
      <c r="O53" s="161">
        <f t="shared" si="81"/>
        <v>1.9607843137254943E-2</v>
      </c>
      <c r="P53" s="161">
        <f t="shared" si="81"/>
        <v>1.9607843137254818E-2</v>
      </c>
      <c r="Q53" s="161">
        <f t="shared" si="81"/>
        <v>1.9607843137254888E-2</v>
      </c>
      <c r="R53" s="161">
        <f t="shared" si="81"/>
        <v>1.9607843137254926E-2</v>
      </c>
      <c r="S53" s="161">
        <f t="shared" si="81"/>
        <v>1.9607843137254902E-2</v>
      </c>
      <c r="T53" s="161">
        <f t="shared" si="81"/>
        <v>1.9607843137254808E-2</v>
      </c>
      <c r="U53" s="161">
        <f t="shared" si="81"/>
        <v>1.9607843137254919E-2</v>
      </c>
      <c r="V53" s="161">
        <f t="shared" si="81"/>
        <v>1.9607843137254836E-2</v>
      </c>
      <c r="W53" s="161">
        <f t="shared" si="81"/>
        <v>1.9607843137254943E-2</v>
      </c>
      <c r="X53" s="161">
        <f t="shared" si="81"/>
        <v>1.9607843137254707E-2</v>
      </c>
      <c r="Y53" s="161">
        <f t="shared" si="81"/>
        <v>1.960784313725512E-2</v>
      </c>
      <c r="Z53" s="161">
        <f t="shared" si="81"/>
        <v>1.9607843137254829E-2</v>
      </c>
      <c r="AA53" s="161">
        <f t="shared" si="81"/>
        <v>1.9607843137255089E-2</v>
      </c>
      <c r="AB53" s="161">
        <f t="shared" si="81"/>
        <v>1.9607843137254798E-2</v>
      </c>
      <c r="AC53" s="161">
        <f t="shared" si="81"/>
        <v>1.9607843137254923E-2</v>
      </c>
      <c r="AD53" s="161">
        <f t="shared" si="81"/>
        <v>1.9607843137254961E-2</v>
      </c>
      <c r="AE53" s="161">
        <f t="shared" si="81"/>
        <v>1.9607843137254964E-2</v>
      </c>
      <c r="AF53" s="161">
        <f t="shared" si="81"/>
        <v>1.9607843137254818E-2</v>
      </c>
      <c r="AG53" s="161">
        <f t="shared" si="81"/>
        <v>1.9607843137254954E-2</v>
      </c>
      <c r="AH53" s="161">
        <f t="shared" si="81"/>
        <v>1.9607843137254766E-2</v>
      </c>
      <c r="AI53" s="161">
        <f t="shared" si="81"/>
        <v>1.9607843137254975E-2</v>
      </c>
      <c r="AJ53" s="161">
        <f t="shared" si="81"/>
        <v>1.9607843137254787E-2</v>
      </c>
      <c r="AK53" s="161">
        <f t="shared" si="81"/>
        <v>1.9607843137255093E-2</v>
      </c>
      <c r="AL53" s="161">
        <f t="shared" si="81"/>
        <v>1.9607843137254909E-2</v>
      </c>
      <c r="AM53" s="161">
        <f t="shared" si="81"/>
        <v>1.9607843137254794E-2</v>
      </c>
      <c r="AN53" s="161">
        <f t="shared" si="81"/>
        <v>1.9607843137255079E-2</v>
      </c>
      <c r="AO53" s="161">
        <f t="shared" si="81"/>
        <v>1.9607843137254891E-2</v>
      </c>
      <c r="AP53" s="161">
        <f t="shared" si="81"/>
        <v>1.960784313725485E-2</v>
      </c>
      <c r="AQ53" s="161">
        <f t="shared" si="81"/>
        <v>1.9607843137254912E-2</v>
      </c>
      <c r="AR53" s="161">
        <f t="shared" si="81"/>
        <v>1.9607843137254742E-2</v>
      </c>
      <c r="AS53" s="161">
        <f t="shared" si="81"/>
        <v>1.9607843137254923E-2</v>
      </c>
      <c r="AT53" s="161">
        <f t="shared" si="81"/>
        <v>1.9607843137255034E-2</v>
      </c>
      <c r="AU53" s="161">
        <f t="shared" si="81"/>
        <v>1.9607843137254641E-2</v>
      </c>
      <c r="AV53" s="161">
        <f t="shared" si="81"/>
        <v>1.9607843137254968E-2</v>
      </c>
      <c r="AW53" s="161">
        <f t="shared" si="81"/>
        <v>1.9607843137254926E-2</v>
      </c>
      <c r="AX53" s="161">
        <f t="shared" si="81"/>
        <v>1.9607843137254822E-2</v>
      </c>
      <c r="AY53" s="161">
        <f t="shared" si="81"/>
        <v>1.9607843137254978E-2</v>
      </c>
      <c r="AZ53" s="161">
        <f t="shared" si="81"/>
        <v>1.9607843137255172E-2</v>
      </c>
      <c r="BA53" s="161">
        <f t="shared" si="81"/>
        <v>1.960784313725461E-2</v>
      </c>
      <c r="BB53" s="161">
        <f t="shared" si="81"/>
        <v>1.9607843137255044E-2</v>
      </c>
      <c r="BC53" s="161">
        <f t="shared" si="81"/>
        <v>1.960784313725478E-2</v>
      </c>
      <c r="BD53" s="161">
        <f t="shared" si="81"/>
        <v>1.9607843137254825E-2</v>
      </c>
    </row>
    <row r="54" spans="1:56" s="151" customFormat="1" x14ac:dyDescent="0.25">
      <c r="B54" s="155"/>
      <c r="N54" s="221"/>
    </row>
    <row r="55" spans="1:56" s="151" customFormat="1" x14ac:dyDescent="0.25">
      <c r="A55" s="9" t="s">
        <v>55</v>
      </c>
      <c r="B55" s="62">
        <f>B15</f>
        <v>44593</v>
      </c>
      <c r="C55" s="62">
        <f>B55+31</f>
        <v>44624</v>
      </c>
      <c r="D55" s="62">
        <f t="shared" ref="D55:BD55" si="82">C55+31</f>
        <v>44655</v>
      </c>
      <c r="E55" s="62">
        <f t="shared" si="82"/>
        <v>44686</v>
      </c>
      <c r="F55" s="62">
        <f t="shared" si="82"/>
        <v>44717</v>
      </c>
      <c r="G55" s="62">
        <f t="shared" si="82"/>
        <v>44748</v>
      </c>
      <c r="H55" s="62">
        <f t="shared" si="82"/>
        <v>44779</v>
      </c>
      <c r="I55" s="62">
        <f t="shared" si="82"/>
        <v>44810</v>
      </c>
      <c r="J55" s="62">
        <f t="shared" si="82"/>
        <v>44841</v>
      </c>
      <c r="K55" s="62">
        <f t="shared" si="82"/>
        <v>44872</v>
      </c>
      <c r="L55" s="62">
        <f t="shared" si="82"/>
        <v>44903</v>
      </c>
      <c r="M55" s="62">
        <f t="shared" si="82"/>
        <v>44934</v>
      </c>
      <c r="N55" s="62">
        <f t="shared" si="82"/>
        <v>44965</v>
      </c>
      <c r="O55" s="62">
        <f t="shared" si="82"/>
        <v>44996</v>
      </c>
      <c r="P55" s="62">
        <f t="shared" si="82"/>
        <v>45027</v>
      </c>
      <c r="Q55" s="62">
        <f t="shared" si="82"/>
        <v>45058</v>
      </c>
      <c r="R55" s="62">
        <f t="shared" si="82"/>
        <v>45089</v>
      </c>
      <c r="S55" s="62">
        <f t="shared" si="82"/>
        <v>45120</v>
      </c>
      <c r="T55" s="62">
        <f t="shared" si="82"/>
        <v>45151</v>
      </c>
      <c r="U55" s="62">
        <f t="shared" si="82"/>
        <v>45182</v>
      </c>
      <c r="V55" s="62">
        <f t="shared" si="82"/>
        <v>45213</v>
      </c>
      <c r="W55" s="62">
        <f t="shared" si="82"/>
        <v>45244</v>
      </c>
      <c r="X55" s="62">
        <f t="shared" si="82"/>
        <v>45275</v>
      </c>
      <c r="Y55" s="62">
        <f t="shared" si="82"/>
        <v>45306</v>
      </c>
      <c r="Z55" s="62">
        <f t="shared" si="82"/>
        <v>45337</v>
      </c>
      <c r="AA55" s="62">
        <f t="shared" si="82"/>
        <v>45368</v>
      </c>
      <c r="AB55" s="62">
        <f t="shared" si="82"/>
        <v>45399</v>
      </c>
      <c r="AC55" s="62">
        <f t="shared" si="82"/>
        <v>45430</v>
      </c>
      <c r="AD55" s="62">
        <f t="shared" si="82"/>
        <v>45461</v>
      </c>
      <c r="AE55" s="62">
        <f t="shared" si="82"/>
        <v>45492</v>
      </c>
      <c r="AF55" s="62">
        <f t="shared" si="82"/>
        <v>45523</v>
      </c>
      <c r="AG55" s="62">
        <f t="shared" si="82"/>
        <v>45554</v>
      </c>
      <c r="AH55" s="62">
        <f t="shared" si="82"/>
        <v>45585</v>
      </c>
      <c r="AI55" s="62">
        <f t="shared" si="82"/>
        <v>45616</v>
      </c>
      <c r="AJ55" s="62">
        <f t="shared" si="82"/>
        <v>45647</v>
      </c>
      <c r="AK55" s="62">
        <f t="shared" si="82"/>
        <v>45678</v>
      </c>
      <c r="AL55" s="62">
        <f t="shared" si="82"/>
        <v>45709</v>
      </c>
      <c r="AM55" s="62">
        <f t="shared" si="82"/>
        <v>45740</v>
      </c>
      <c r="AN55" s="62">
        <f t="shared" si="82"/>
        <v>45771</v>
      </c>
      <c r="AO55" s="62">
        <f t="shared" si="82"/>
        <v>45802</v>
      </c>
      <c r="AP55" s="62">
        <f t="shared" si="82"/>
        <v>45833</v>
      </c>
      <c r="AQ55" s="62">
        <f t="shared" si="82"/>
        <v>45864</v>
      </c>
      <c r="AR55" s="62">
        <f t="shared" si="82"/>
        <v>45895</v>
      </c>
      <c r="AS55" s="62">
        <f t="shared" si="82"/>
        <v>45926</v>
      </c>
      <c r="AT55" s="62">
        <f t="shared" si="82"/>
        <v>45957</v>
      </c>
      <c r="AU55" s="62">
        <f t="shared" si="82"/>
        <v>45988</v>
      </c>
      <c r="AV55" s="62">
        <f t="shared" si="82"/>
        <v>46019</v>
      </c>
      <c r="AW55" s="62">
        <f t="shared" si="82"/>
        <v>46050</v>
      </c>
      <c r="AX55" s="62">
        <f t="shared" si="82"/>
        <v>46081</v>
      </c>
      <c r="AY55" s="62">
        <f t="shared" si="82"/>
        <v>46112</v>
      </c>
      <c r="AZ55" s="62">
        <f t="shared" si="82"/>
        <v>46143</v>
      </c>
      <c r="BA55" s="62">
        <f t="shared" si="82"/>
        <v>46174</v>
      </c>
      <c r="BB55" s="62">
        <f t="shared" si="82"/>
        <v>46205</v>
      </c>
      <c r="BC55" s="62">
        <f t="shared" si="82"/>
        <v>46236</v>
      </c>
      <c r="BD55" s="62">
        <f t="shared" si="82"/>
        <v>46267</v>
      </c>
    </row>
    <row r="56" spans="1:56" s="151" customFormat="1" outlineLevel="1" x14ac:dyDescent="0.25">
      <c r="A56" s="18" t="s">
        <v>359</v>
      </c>
      <c r="B56" s="158">
        <f>IF($C$16=1,$F$13,IF($C$16=2,$F$13/2,IF($C$16=3,$F$13/3,IF($C$16=4,$F$13/4,IF($C$16=5,$F$13/5,IF($C$16=6,$F$13/6,IF($C$16=7,$F$13/7,IF($C$16=8,$F$13/8,"0"))))))))</f>
        <v>24908.333333333332</v>
      </c>
      <c r="C56" s="158">
        <f>IF($C$16=2,$F$13/2,IF($C$16=3,$F$13/3,IF($C$16=4,$F$13/4,IF($C$16=5,$F$13/5,IF($C$16=6,$F$13/6,IF($C$16=7,$F$13/7,IF($C$16=8,$F$13/8,"0")))))))</f>
        <v>24908.333333333332</v>
      </c>
      <c r="D56" s="158">
        <f>IF($C$16=3,$F$13/3,IF($C$16=4,$F$13/4,IF($C$16=5,$F$13/5,IF($C$16=6,$F$13/6,IF($C$16=7,$F$13/7,IF($C$16=8,$F$13/8,"0"))))))</f>
        <v>24908.333333333332</v>
      </c>
      <c r="E56" s="158" t="str">
        <f>IF($C$16=4,$F$13/4,IF($C$16=5,$F$13/5,IF($C$16=6,$F$13/6,IF($C$16=7,$F$13/7,IF($C$16=8,$F$13/8,"0")))))</f>
        <v>0</v>
      </c>
      <c r="F56" s="158" t="str">
        <f>IF($C$16=5,$F$13/5,IF($C$16=6,$F$13/6,IF($C$16=7,$F$13/7,IF($C$16=8,$F$13/8,"0"))))</f>
        <v>0</v>
      </c>
      <c r="G56" s="158" t="str">
        <f>IF($C$16=6,$F$13/6,IF($C$16=7,$F$13/7,IF($C$16=8,$F$13/8,"0")))</f>
        <v>0</v>
      </c>
      <c r="H56" s="158" t="str">
        <f>IF($C$16=7,$F$13/7,IF($C$16=8,$F$13/8,"0"))</f>
        <v>0</v>
      </c>
      <c r="I56" s="158" t="str">
        <f>IF($C$16=8,$F$13/8,"0")</f>
        <v>0</v>
      </c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</row>
    <row r="57" spans="1:56" s="151" customFormat="1" outlineLevel="1" x14ac:dyDescent="0.25">
      <c r="A57" s="18" t="s">
        <v>360</v>
      </c>
      <c r="B57" s="230"/>
      <c r="C57" s="231" t="b">
        <f>IF(C56="",IF($C$19=1,$M$13,IF($C$19=2,$M$13/2,IF($C$19=3,$M$13/3,IF($C$19=4,$M$13/4,IF($C$19=5,$M$13/5))))))</f>
        <v>0</v>
      </c>
      <c r="D57" s="231" t="b">
        <f>IF(C57=M10,0,IF(D56="0",IF($C$19=1,$M$13,IF($C$19=2,$M$13/2,IF($C$19=3,$M$13/3,IF($C$19=4,$M$13/4,IF($C$19=5,$M$13/5)))))))</f>
        <v>0</v>
      </c>
      <c r="E57" s="231">
        <f>IF(SUM($C$57:D57)=$M$13,0,IF(E56="0",IF($C$19=1,$M$13,IF($C$19=2,$M$13/2,IF($C$19=3,$M$13/3,IF($C$19=4,$M$13/4,IF($C$19=5,$M$13/5)))))))</f>
        <v>9471</v>
      </c>
      <c r="F57" s="231">
        <f>IF(SUM($C$57:E57)=$M$13,0,IF(F56="0",IF($C$19=1,$M$13,IF($C$19=2,$M$13/2,IF($C$19=3,$M$13/3,IF($C$19=4,$M$13/4,IF($C$19=5,$M$13/5)))))))</f>
        <v>0</v>
      </c>
      <c r="G57" s="231">
        <f>IF(SUM($C$57:F57)=$M$13,0,IF(G56="0",IF($C$19=1,$M$13,IF($C$19=2,$M$13/2,IF($C$19=3,$M$13/3,IF($C$19=4,$M$13/4,IF($C$19=5,$M$13/5)))))))</f>
        <v>0</v>
      </c>
      <c r="H57" s="231">
        <f>IF(SUM($C$57:G57)=$M$13,0,IF(H56="0",IF($C$19=1,$M$13,IF($C$19=2,$M$13/2,IF($C$19=3,$M$13/3,IF($C$19=4,$M$13/4,IF($C$19=5,$M$13/5)))))))</f>
        <v>0</v>
      </c>
      <c r="I57" s="231">
        <f>IF(SUM($C$57:H57)=$M$13,0,IF(I56="0",IF($C$19=1,$M$13,IF($C$19=2,$M$13/2,IF($C$19=3,$M$13/3,IF($C$19=4,$M$13/4,IF($C$19=5,$M$13/5)))))))</f>
        <v>0</v>
      </c>
      <c r="J57" s="231">
        <f>IF(SUM($C$57:I57)=$M$13,0,IF(J56="0",IF($C$19=1,$M$13,IF($C$19=2,$M$13/2,IF($C$19=3,$M$13/3,IF($C$19=4,$M$13/4,IF($C$19=5,$M$13/5)))))))</f>
        <v>0</v>
      </c>
      <c r="K57" s="231">
        <f>IF(SUM($C$57:J57)=$M$13,0,IF(K56="0",IF($C$19=1,$M$13,IF($C$19=2,$M$13/2,IF($C$19=3,$M$13/3,IF($C$19=4,$M$13/4,IF($C$19=5,$M$13/5)))))))</f>
        <v>0</v>
      </c>
      <c r="L57" s="231">
        <f>IF(SUM($C$57:K57)=$M$13,0,IF(L56="0",IF($C$19=1,$M$13,IF($C$19=2,$M$13/2,IF($C$19=3,$M$13/3,IF($C$19=4,$M$13/4,IF($C$19=5,$M$13/5)))))))</f>
        <v>0</v>
      </c>
      <c r="M57" s="231">
        <f>IF(SUM($C$57:L57)=$M$13,0,IF(M56="0",IF($C$19=1,$M$13,IF($C$19=2,$M$13/2,IF($C$19=3,$M$13/3,IF($C$19=4,$M$13/4,IF($C$19=5,$M$13/5)))))))</f>
        <v>0</v>
      </c>
      <c r="N57" s="231">
        <f>IF(SUM($C$57:M57)=$M$13,0,IF(N56="0",IF($C$19=1,$M$13,IF($C$19=2,$M$13/2,IF($C$19=3,$M$13/3,IF($C$19=4,$M$13/4,IF($C$19=5,$M$13/5)))))))</f>
        <v>0</v>
      </c>
      <c r="O57" s="231">
        <f>IF(SUM($C$57:N57)=$M$13,0,IF(O56="0",IF($C$19=1,$M$13,IF($C$19=2,$M$13/2,IF($C$19=3,$M$13/3,IF($C$19=4,$M$13/4,IF($C$19=5,$M$13/5)))))))</f>
        <v>0</v>
      </c>
      <c r="P57" s="231">
        <f>IF(SUM($C$57:O57)=$M$13,0,IF(P56="0",IF($C$19=1,$M$13,IF($C$19=2,$M$13/2,IF($C$19=3,$M$13/3,IF($C$19=4,$M$13/4,IF($C$19=5,$M$13/5)))))))</f>
        <v>0</v>
      </c>
      <c r="Q57" s="231">
        <f>IF(SUM($C$57:P57)=$M$13,0,IF(Q56="0",IF($C$19=1,$M$13,IF($C$19=2,$M$13/2,IF($C$19=3,$M$13/3,IF($C$19=4,$M$13/4,IF($C$19=5,$M$13/5)))))))</f>
        <v>0</v>
      </c>
      <c r="R57" s="231">
        <f>IF(SUM($C$57:Q57)=$M$13,0,IF(R56="0",IF($C$19=1,$M$13,IF($C$19=2,$M$13/2,IF($C$19=3,$M$13/3,IF($C$19=4,$M$13/4,IF($C$19=5,$M$13/5)))))))</f>
        <v>0</v>
      </c>
      <c r="S57" s="231">
        <f>IF(SUM($C$57:R57)=$M$13,0,IF(S56="0",IF($C$19=1,$M$13,IF($C$19=2,$M$13/2,IF($C$19=3,$M$13/3,IF($C$19=4,$M$13/4,IF($C$19=5,$M$13/5)))))))</f>
        <v>0</v>
      </c>
      <c r="T57" s="231">
        <f>IF(SUM($C$57:S57)=$M$13,0,IF(T56="0",IF($C$19=1,$M$13,IF($C$19=2,$M$13/2,IF($C$19=3,$M$13/3,IF($C$19=4,$M$13/4,IF($C$19=5,$M$13/5)))))))</f>
        <v>0</v>
      </c>
      <c r="U57" s="231">
        <f>IF(SUM($C$57:T57)=$M$13,0,IF(U56="0",IF($C$19=1,$M$13,IF($C$19=2,$M$13/2,IF($C$19=3,$M$13/3,IF($C$19=4,$M$13/4,IF($C$19=5,$M$13/5)))))))</f>
        <v>0</v>
      </c>
      <c r="V57" s="231">
        <f>IF(SUM($C$57:U57)=$M$13,0,IF(V56="0",IF($C$19=1,$M$13,IF($C$19=2,$M$13/2,IF($C$19=3,$M$13/3,IF($C$19=4,$M$13/4,IF($C$19=5,$M$13/5)))))))</f>
        <v>0</v>
      </c>
      <c r="W57" s="231">
        <f>IF(SUM($C$57:V57)=$M$13,0,IF(W56="0",IF($C$19=1,$M$13,IF($C$19=2,$M$13/2,IF($C$19=3,$M$13/3,IF($C$19=4,$M$13/4,IF($C$19=5,$M$13/5)))))))</f>
        <v>0</v>
      </c>
      <c r="X57" s="231">
        <f>IF(SUM($C$57:W57)=$M$13,0,IF(X56="0",IF($C$19=1,$M$13,IF($C$19=2,$M$13/2,IF($C$19=3,$M$13/3,IF($C$19=4,$M$13/4,IF($C$19=5,$M$13/5)))))))</f>
        <v>0</v>
      </c>
      <c r="Y57" s="231">
        <f>IF(SUM($C$57:X57)=$M$13,0,IF(Y56="0",IF($C$19=1,$M$13,IF($C$19=2,$M$13/2,IF($C$19=3,$M$13/3,IF($C$19=4,$M$13/4,IF($C$19=5,$M$13/5)))))))</f>
        <v>0</v>
      </c>
      <c r="Z57" s="231">
        <f>IF(SUM($C$57:Y57)=$M$13,0,IF(Z56="0",IF($C$19=1,$M$13,IF($C$19=2,$M$13/2,IF($C$19=3,$M$13/3,IF($C$19=4,$M$13/4,IF($C$19=5,$M$13/5)))))))</f>
        <v>0</v>
      </c>
      <c r="AA57" s="231">
        <f>IF(SUM($C$57:Z57)=$M$13,0,IF(AA56="0",IF($C$19=1,$M$13,IF($C$19=2,$M$13/2,IF($C$19=3,$M$13/3,IF($C$19=4,$M$13/4,IF($C$19=5,$M$13/5)))))))</f>
        <v>0</v>
      </c>
      <c r="AB57" s="231">
        <f>IF(SUM($C$57:AA57)=$M$13,0,IF(AB56="0",IF($C$19=1,$M$13,IF($C$19=2,$M$13/2,IF($C$19=3,$M$13/3,IF($C$19=4,$M$13/4,IF($C$19=5,$M$13/5)))))))</f>
        <v>0</v>
      </c>
      <c r="AC57" s="231">
        <f>IF(SUM($C$57:AB57)=$M$13,0,IF(AC56="0",IF($C$19=1,$M$13,IF($C$19=2,$M$13/2,IF($C$19=3,$M$13/3,IF($C$19=4,$M$13/4,IF($C$19=5,$M$13/5)))))))</f>
        <v>0</v>
      </c>
      <c r="AD57" s="231">
        <f>IF(SUM($C$57:AC57)=$M$13,0,IF(AD56="0",IF($C$19=1,$M$13,IF($C$19=2,$M$13/2,IF($C$19=3,$M$13/3,IF($C$19=4,$M$13/4,IF($C$19=5,$M$13/5)))))))</f>
        <v>0</v>
      </c>
      <c r="AE57" s="231">
        <f>IF(SUM($C$57:AD57)=$M$13,0,IF(AE56="0",IF($C$19=1,$M$13,IF($C$19=2,$M$13/2,IF($C$19=3,$M$13/3,IF($C$19=4,$M$13/4,IF($C$19=5,$M$13/5)))))))</f>
        <v>0</v>
      </c>
      <c r="AF57" s="231">
        <f>IF(SUM($C$57:AE57)=$M$13,0,IF(AF56="0",IF($C$19=1,$M$13,IF($C$19=2,$M$13/2,IF($C$19=3,$M$13/3,IF($C$19=4,$M$13/4,IF($C$19=5,$M$13/5)))))))</f>
        <v>0</v>
      </c>
      <c r="AG57" s="231">
        <f>IF(SUM($C$57:AF57)=$M$13,0,IF(AG56="0",IF($C$19=1,$M$13,IF($C$19=2,$M$13/2,IF($C$19=3,$M$13/3,IF($C$19=4,$M$13/4,IF($C$19=5,$M$13/5)))))))</f>
        <v>0</v>
      </c>
      <c r="AH57" s="231">
        <f>IF(SUM($C$57:AG57)=$M$13,0,IF(AH56="0",IF($C$19=1,$M$13,IF($C$19=2,$M$13/2,IF($C$19=3,$M$13/3,IF($C$19=4,$M$13/4,IF($C$19=5,$M$13/5)))))))</f>
        <v>0</v>
      </c>
      <c r="AI57" s="231">
        <f>IF(SUM($C$57:AH57)=$M$13,0,IF(AI56="0",IF($C$19=1,$M$13,IF($C$19=2,$M$13/2,IF($C$19=3,$M$13/3,IF($C$19=4,$M$13/4,IF($C$19=5,$M$13/5)))))))</f>
        <v>0</v>
      </c>
      <c r="AJ57" s="231">
        <f>IF(SUM($C$57:AI57)=$M$13,0,IF(AJ56="0",IF($C$19=1,$M$13,IF($C$19=2,$M$13/2,IF($C$19=3,$M$13/3,IF($C$19=4,$M$13/4,IF($C$19=5,$M$13/5)))))))</f>
        <v>0</v>
      </c>
      <c r="AK57" s="231">
        <f>IF(SUM($C$57:AJ57)=$M$13,0,IF(AK56="0",IF($C$19=1,$M$13,IF($C$19=2,$M$13/2,IF($C$19=3,$M$13/3,IF($C$19=4,$M$13/4,IF($C$19=5,$M$13/5)))))))</f>
        <v>0</v>
      </c>
      <c r="AL57" s="231">
        <f>IF(SUM($C$57:AK57)=$M$13,0,IF(AL56="0",IF($C$19=1,$M$13,IF($C$19=2,$M$13/2,IF($C$19=3,$M$13/3,IF($C$19=4,$M$13/4,IF($C$19=5,$M$13/5)))))))</f>
        <v>0</v>
      </c>
      <c r="AM57" s="231">
        <f>IF(SUM($C$57:AL57)=$M$13,0,IF(AM56="0",IF($C$19=1,$M$13,IF($C$19=2,$M$13/2,IF($C$19=3,$M$13/3,IF($C$19=4,$M$13/4,IF($C$19=5,$M$13/5)))))))</f>
        <v>0</v>
      </c>
      <c r="AN57" s="231">
        <f>IF(SUM($C$57:AM57)=$M$13,0,IF(AN56="0",IF($C$19=1,$M$13,IF($C$19=2,$M$13/2,IF($C$19=3,$M$13/3,IF($C$19=4,$M$13/4,IF($C$19=5,$M$13/5)))))))</f>
        <v>0</v>
      </c>
      <c r="AO57" s="231">
        <f>IF(SUM($C$57:AN57)=$M$13,0,IF(AO56="0",IF($C$19=1,$M$13,IF($C$19=2,$M$13/2,IF($C$19=3,$M$13/3,IF($C$19=4,$M$13/4,IF($C$19=5,$M$13/5)))))))</f>
        <v>0</v>
      </c>
      <c r="AP57" s="231">
        <f>IF(SUM($C$57:AO57)=$M$13,0,IF(AP56="0",IF($C$19=1,$M$13,IF($C$19=2,$M$13/2,IF($C$19=3,$M$13/3,IF($C$19=4,$M$13/4,IF($C$19=5,$M$13/5)))))))</f>
        <v>0</v>
      </c>
      <c r="AQ57" s="231">
        <f>IF(SUM($C$57:AP57)=$M$13,0,IF(AQ56="0",IF($C$19=1,$M$13,IF($C$19=2,$M$13/2,IF($C$19=3,$M$13/3,IF($C$19=4,$M$13/4,IF($C$19=5,$M$13/5)))))))</f>
        <v>0</v>
      </c>
      <c r="AR57" s="231">
        <f>IF(SUM($C$57:AQ57)=$M$13,0,IF(AR56="0",IF($C$19=1,$M$13,IF($C$19=2,$M$13/2,IF($C$19=3,$M$13/3,IF($C$19=4,$M$13/4,IF($C$19=5,$M$13/5)))))))</f>
        <v>0</v>
      </c>
      <c r="AS57" s="231">
        <f>IF(SUM($C$57:AR57)=$M$13,0,IF(AS56="0",IF($C$19=1,$M$13,IF($C$19=2,$M$13/2,IF($C$19=3,$M$13/3,IF($C$19=4,$M$13/4,IF($C$19=5,$M$13/5)))))))</f>
        <v>0</v>
      </c>
      <c r="AT57" s="231">
        <f>IF(SUM($C$57:AS57)=$M$13,0,IF(AT56="0",IF($C$19=1,$M$13,IF($C$19=2,$M$13/2,IF($C$19=3,$M$13/3,IF($C$19=4,$M$13/4,IF($C$19=5,$M$13/5)))))))</f>
        <v>0</v>
      </c>
      <c r="AU57" s="231">
        <f>IF(SUM($C$57:AT57)=$M$13,0,IF(AU56="0",IF($C$19=1,$M$13,IF($C$19=2,$M$13/2,IF($C$19=3,$M$13/3,IF($C$19=4,$M$13/4,IF($C$19=5,$M$13/5)))))))</f>
        <v>0</v>
      </c>
      <c r="AV57" s="231">
        <f>IF(SUM($C$57:AU57)=$M$13,0,IF(AV56="0",IF($C$19=1,$M$13,IF($C$19=2,$M$13/2,IF($C$19=3,$M$13/3,IF($C$19=4,$M$13/4,IF($C$19=5,$M$13/5)))))))</f>
        <v>0</v>
      </c>
      <c r="AW57" s="231">
        <f>IF(SUM($C$57:AV57)=$M$13,0,IF(AW56="0",IF($C$19=1,$M$13,IF($C$19=2,$M$13/2,IF($C$19=3,$M$13/3,IF($C$19=4,$M$13/4,IF($C$19=5,$M$13/5)))))))</f>
        <v>0</v>
      </c>
      <c r="AX57" s="231">
        <f>IF(SUM($C$57:AW57)=$M$13,0,IF(AX56="0",IF($C$19=1,$M$13,IF($C$19=2,$M$13/2,IF($C$19=3,$M$13/3,IF($C$19=4,$M$13/4,IF($C$19=5,$M$13/5)))))))</f>
        <v>0</v>
      </c>
      <c r="AY57" s="231">
        <f>IF(SUM($C$57:AX57)=$M$13,0,IF(AY56="0",IF($C$19=1,$M$13,IF($C$19=2,$M$13/2,IF($C$19=3,$M$13/3,IF($C$19=4,$M$13/4,IF($C$19=5,$M$13/5)))))))</f>
        <v>0</v>
      </c>
      <c r="AZ57" s="231">
        <f>IF(SUM($C$57:AY57)=$M$13,0,IF(AZ56="0",IF($C$19=1,$M$13,IF($C$19=2,$M$13/2,IF($C$19=3,$M$13/3,IF($C$19=4,$M$13/4,IF($C$19=5,$M$13/5)))))))</f>
        <v>0</v>
      </c>
      <c r="BA57" s="231">
        <f>IF(SUM($C$57:AZ57)=$M$13,0,IF(BA56="0",IF($C$19=1,$M$13,IF($C$19=2,$M$13/2,IF($C$19=3,$M$13/3,IF($C$19=4,$M$13/4,IF($C$19=5,$M$13/5)))))))</f>
        <v>0</v>
      </c>
      <c r="BB57" s="231">
        <f>IF(SUM($C$57:BA57)=$M$13,0,IF(BB56="0",IF($C$19=1,$M$13,IF($C$19=2,$M$13/2,IF($C$19=3,$M$13/3,IF($C$19=4,$M$13/4,IF($C$19=5,$M$13/5)))))))</f>
        <v>0</v>
      </c>
      <c r="BC57" s="231">
        <f>IF(SUM($C$57:BB57)=$M$13,0,IF(BC56="0",IF($C$19=1,$M$13,IF($C$19=2,$M$13/2,IF($C$19=3,$M$13/3,IF($C$19=4,$M$13/4,IF($C$19=5,$M$13/5)))))))</f>
        <v>0</v>
      </c>
      <c r="BD57" s="231">
        <f>IF(SUM($C$57:BC57)=$M$13,0,IF(BD56="0",IF($C$19=1,$M$13,IF($C$19=2,$M$13/2,IF($C$19=3,$M$13/3,IF($C$19=4,$M$13/4,IF($C$19=5,$M$13/5)))))))</f>
        <v>0</v>
      </c>
    </row>
    <row r="58" spans="1:56" s="151" customFormat="1" outlineLevel="1" x14ac:dyDescent="0.25">
      <c r="A58" s="18" t="s">
        <v>467</v>
      </c>
      <c r="B58" s="299" t="str">
        <f>IF(SUM(B56:B57)&gt;0,"0",$I$20)</f>
        <v>0</v>
      </c>
      <c r="C58" s="299" t="str">
        <f t="shared" ref="C58:BD58" si="83">IF(SUM(C56:C57)&gt;0,"0",$I$20)</f>
        <v>0</v>
      </c>
      <c r="D58" s="299" t="str">
        <f t="shared" si="83"/>
        <v>0</v>
      </c>
      <c r="E58" s="299" t="str">
        <f t="shared" si="83"/>
        <v>0</v>
      </c>
      <c r="F58" s="299">
        <f t="shared" si="83"/>
        <v>10000</v>
      </c>
      <c r="G58" s="299">
        <f t="shared" si="83"/>
        <v>10000</v>
      </c>
      <c r="H58" s="299">
        <f t="shared" si="83"/>
        <v>10000</v>
      </c>
      <c r="I58" s="299">
        <f t="shared" si="83"/>
        <v>10000</v>
      </c>
      <c r="J58" s="299">
        <f t="shared" si="83"/>
        <v>10000</v>
      </c>
      <c r="K58" s="299">
        <f t="shared" si="83"/>
        <v>10000</v>
      </c>
      <c r="L58" s="299">
        <f t="shared" si="83"/>
        <v>10000</v>
      </c>
      <c r="M58" s="299">
        <f t="shared" si="83"/>
        <v>10000</v>
      </c>
      <c r="N58" s="299">
        <f t="shared" si="83"/>
        <v>10000</v>
      </c>
      <c r="O58" s="299">
        <f t="shared" si="83"/>
        <v>10000</v>
      </c>
      <c r="P58" s="299">
        <f t="shared" si="83"/>
        <v>10000</v>
      </c>
      <c r="Q58" s="299">
        <f t="shared" si="83"/>
        <v>10000</v>
      </c>
      <c r="R58" s="299">
        <f t="shared" si="83"/>
        <v>10000</v>
      </c>
      <c r="S58" s="299">
        <f t="shared" si="83"/>
        <v>10000</v>
      </c>
      <c r="T58" s="299">
        <f t="shared" si="83"/>
        <v>10000</v>
      </c>
      <c r="U58" s="299">
        <f t="shared" si="83"/>
        <v>10000</v>
      </c>
      <c r="V58" s="299">
        <f t="shared" si="83"/>
        <v>10000</v>
      </c>
      <c r="W58" s="299">
        <f t="shared" si="83"/>
        <v>10000</v>
      </c>
      <c r="X58" s="299">
        <f t="shared" si="83"/>
        <v>10000</v>
      </c>
      <c r="Y58" s="299">
        <f t="shared" si="83"/>
        <v>10000</v>
      </c>
      <c r="Z58" s="299">
        <f t="shared" si="83"/>
        <v>10000</v>
      </c>
      <c r="AA58" s="299">
        <f t="shared" si="83"/>
        <v>10000</v>
      </c>
      <c r="AB58" s="299">
        <f t="shared" si="83"/>
        <v>10000</v>
      </c>
      <c r="AC58" s="299">
        <f t="shared" si="83"/>
        <v>10000</v>
      </c>
      <c r="AD58" s="299">
        <f t="shared" si="83"/>
        <v>10000</v>
      </c>
      <c r="AE58" s="299">
        <f t="shared" si="83"/>
        <v>10000</v>
      </c>
      <c r="AF58" s="299">
        <f t="shared" si="83"/>
        <v>10000</v>
      </c>
      <c r="AG58" s="299">
        <f t="shared" si="83"/>
        <v>10000</v>
      </c>
      <c r="AH58" s="299">
        <f t="shared" si="83"/>
        <v>10000</v>
      </c>
      <c r="AI58" s="299">
        <f t="shared" si="83"/>
        <v>10000</v>
      </c>
      <c r="AJ58" s="299">
        <f t="shared" si="83"/>
        <v>10000</v>
      </c>
      <c r="AK58" s="299">
        <f t="shared" si="83"/>
        <v>10000</v>
      </c>
      <c r="AL58" s="299">
        <f t="shared" si="83"/>
        <v>10000</v>
      </c>
      <c r="AM58" s="299">
        <f t="shared" si="83"/>
        <v>10000</v>
      </c>
      <c r="AN58" s="299">
        <f t="shared" si="83"/>
        <v>10000</v>
      </c>
      <c r="AO58" s="299">
        <f t="shared" si="83"/>
        <v>10000</v>
      </c>
      <c r="AP58" s="299">
        <f t="shared" si="83"/>
        <v>10000</v>
      </c>
      <c r="AQ58" s="299">
        <f t="shared" si="83"/>
        <v>10000</v>
      </c>
      <c r="AR58" s="299">
        <f t="shared" si="83"/>
        <v>10000</v>
      </c>
      <c r="AS58" s="299">
        <f t="shared" si="83"/>
        <v>10000</v>
      </c>
      <c r="AT58" s="299">
        <f t="shared" si="83"/>
        <v>10000</v>
      </c>
      <c r="AU58" s="299">
        <f t="shared" si="83"/>
        <v>10000</v>
      </c>
      <c r="AV58" s="299">
        <f t="shared" si="83"/>
        <v>10000</v>
      </c>
      <c r="AW58" s="299">
        <f t="shared" si="83"/>
        <v>10000</v>
      </c>
      <c r="AX58" s="299">
        <f t="shared" si="83"/>
        <v>10000</v>
      </c>
      <c r="AY58" s="299">
        <f t="shared" si="83"/>
        <v>10000</v>
      </c>
      <c r="AZ58" s="299">
        <f t="shared" si="83"/>
        <v>10000</v>
      </c>
      <c r="BA58" s="299">
        <f t="shared" si="83"/>
        <v>10000</v>
      </c>
      <c r="BB58" s="299">
        <f t="shared" si="83"/>
        <v>10000</v>
      </c>
      <c r="BC58" s="299">
        <f t="shared" si="83"/>
        <v>10000</v>
      </c>
      <c r="BD58" s="299">
        <f t="shared" si="83"/>
        <v>10000</v>
      </c>
    </row>
    <row r="59" spans="1:56" s="151" customFormat="1" outlineLevel="1" x14ac:dyDescent="0.25">
      <c r="A59" s="18" t="s">
        <v>364</v>
      </c>
      <c r="B59" s="158">
        <f>I16</f>
        <v>2000</v>
      </c>
      <c r="C59" s="194">
        <f>B59*(1+$I$17)</f>
        <v>2029.9999999999998</v>
      </c>
      <c r="D59" s="194">
        <f t="shared" ref="D59:BD59" si="84">C59*(1+$I$17)</f>
        <v>2060.4499999999994</v>
      </c>
      <c r="E59" s="194">
        <f t="shared" si="84"/>
        <v>2091.356749999999</v>
      </c>
      <c r="F59" s="194">
        <f t="shared" si="84"/>
        <v>2122.7271012499987</v>
      </c>
      <c r="G59" s="194">
        <f t="shared" si="84"/>
        <v>2154.5680077687484</v>
      </c>
      <c r="H59" s="194">
        <f t="shared" si="84"/>
        <v>2186.8865278852795</v>
      </c>
      <c r="I59" s="194">
        <f t="shared" si="84"/>
        <v>2219.6898258035585</v>
      </c>
      <c r="J59" s="194">
        <f t="shared" si="84"/>
        <v>2252.9851731906115</v>
      </c>
      <c r="K59" s="194">
        <f t="shared" si="84"/>
        <v>2286.7799507884706</v>
      </c>
      <c r="L59" s="194">
        <f t="shared" si="84"/>
        <v>2321.0816500502974</v>
      </c>
      <c r="M59" s="194">
        <f t="shared" si="84"/>
        <v>2355.8978748010518</v>
      </c>
      <c r="N59" s="194">
        <f t="shared" si="84"/>
        <v>2391.2363429230672</v>
      </c>
      <c r="O59" s="194">
        <f t="shared" si="84"/>
        <v>2427.1048880669132</v>
      </c>
      <c r="P59" s="194">
        <f t="shared" si="84"/>
        <v>2463.5114613879168</v>
      </c>
      <c r="Q59" s="194">
        <f t="shared" si="84"/>
        <v>2500.4641333087352</v>
      </c>
      <c r="R59" s="194">
        <f t="shared" si="84"/>
        <v>2537.9710953083659</v>
      </c>
      <c r="S59" s="194">
        <f t="shared" si="84"/>
        <v>2576.0406617379913</v>
      </c>
      <c r="T59" s="194">
        <f t="shared" si="84"/>
        <v>2614.6812716640611</v>
      </c>
      <c r="U59" s="194">
        <f t="shared" si="84"/>
        <v>2653.9014907390219</v>
      </c>
      <c r="V59" s="194">
        <f t="shared" si="84"/>
        <v>2693.7100131001071</v>
      </c>
      <c r="W59" s="194">
        <f t="shared" si="84"/>
        <v>2734.1156632966085</v>
      </c>
      <c r="X59" s="194">
        <f t="shared" si="84"/>
        <v>2775.1273982460575</v>
      </c>
      <c r="Y59" s="194">
        <f t="shared" si="84"/>
        <v>2816.7543092197479</v>
      </c>
      <c r="Z59" s="194">
        <f t="shared" si="84"/>
        <v>2859.0056238580437</v>
      </c>
      <c r="AA59" s="194">
        <f t="shared" si="84"/>
        <v>2901.8907082159139</v>
      </c>
      <c r="AB59" s="194">
        <f t="shared" si="84"/>
        <v>2945.4190688391523</v>
      </c>
      <c r="AC59" s="194">
        <f t="shared" si="84"/>
        <v>2989.6003548717395</v>
      </c>
      <c r="AD59" s="194">
        <f t="shared" si="84"/>
        <v>3034.4443601948151</v>
      </c>
      <c r="AE59" s="194">
        <f t="shared" si="84"/>
        <v>3079.9610255977368</v>
      </c>
      <c r="AF59" s="194">
        <f t="shared" si="84"/>
        <v>3126.1604409817028</v>
      </c>
      <c r="AG59" s="194">
        <f t="shared" si="84"/>
        <v>3173.0528475964279</v>
      </c>
      <c r="AH59" s="194">
        <f t="shared" si="84"/>
        <v>3220.648640310374</v>
      </c>
      <c r="AI59" s="194">
        <f t="shared" si="84"/>
        <v>3268.9583699150294</v>
      </c>
      <c r="AJ59" s="194">
        <f t="shared" si="84"/>
        <v>3317.9927454637545</v>
      </c>
      <c r="AK59" s="194">
        <f t="shared" si="84"/>
        <v>3367.7626366457107</v>
      </c>
      <c r="AL59" s="194">
        <f t="shared" si="84"/>
        <v>3418.2790761953961</v>
      </c>
      <c r="AM59" s="194">
        <f t="shared" si="84"/>
        <v>3469.5532623383269</v>
      </c>
      <c r="AN59" s="194">
        <f t="shared" si="84"/>
        <v>3521.5965612734017</v>
      </c>
      <c r="AO59" s="194">
        <f t="shared" si="84"/>
        <v>3574.4205096925025</v>
      </c>
      <c r="AP59" s="194">
        <f t="shared" si="84"/>
        <v>3628.0368173378897</v>
      </c>
      <c r="AQ59" s="194">
        <f t="shared" si="84"/>
        <v>3682.4573695979575</v>
      </c>
      <c r="AR59" s="194">
        <f t="shared" si="84"/>
        <v>3737.6942301419267</v>
      </c>
      <c r="AS59" s="194">
        <f t="shared" si="84"/>
        <v>3793.7596435940554</v>
      </c>
      <c r="AT59" s="194">
        <f t="shared" si="84"/>
        <v>3850.6660382479658</v>
      </c>
      <c r="AU59" s="194">
        <f t="shared" si="84"/>
        <v>3908.4260288216851</v>
      </c>
      <c r="AV59" s="194">
        <f t="shared" si="84"/>
        <v>3967.0524192540101</v>
      </c>
      <c r="AW59" s="194">
        <f t="shared" si="84"/>
        <v>4026.5582055428199</v>
      </c>
      <c r="AX59" s="194">
        <f t="shared" si="84"/>
        <v>4086.9565786259618</v>
      </c>
      <c r="AY59" s="194">
        <f t="shared" si="84"/>
        <v>4148.2609273053513</v>
      </c>
      <c r="AZ59" s="194">
        <f t="shared" si="84"/>
        <v>4210.4848412149313</v>
      </c>
      <c r="BA59" s="194">
        <f t="shared" si="84"/>
        <v>4273.6421138331552</v>
      </c>
      <c r="BB59" s="194">
        <f t="shared" si="84"/>
        <v>4337.7467455406522</v>
      </c>
      <c r="BC59" s="194">
        <f t="shared" si="84"/>
        <v>4402.8129467237613</v>
      </c>
      <c r="BD59" s="194">
        <f t="shared" si="84"/>
        <v>4468.8551409246174</v>
      </c>
    </row>
    <row r="60" spans="1:56" s="151" customFormat="1" ht="17" outlineLevel="1" thickBot="1" x14ac:dyDescent="0.3">
      <c r="A60" s="18" t="s">
        <v>365</v>
      </c>
      <c r="B60" s="158">
        <f t="shared" ref="B60:AG60" si="85">B52*$B$27</f>
        <v>0</v>
      </c>
      <c r="C60" s="158">
        <f t="shared" si="85"/>
        <v>0</v>
      </c>
      <c r="D60" s="158">
        <f t="shared" si="85"/>
        <v>0</v>
      </c>
      <c r="E60" s="158">
        <f t="shared" si="85"/>
        <v>0</v>
      </c>
      <c r="F60" s="158">
        <f t="shared" si="85"/>
        <v>3711.7955080615443</v>
      </c>
      <c r="G60" s="158">
        <f t="shared" si="85"/>
        <v>3786.0314182227762</v>
      </c>
      <c r="H60" s="158">
        <f t="shared" si="85"/>
        <v>3861.7520465872321</v>
      </c>
      <c r="I60" s="158">
        <f t="shared" si="85"/>
        <v>3938.9870875189763</v>
      </c>
      <c r="J60" s="158">
        <f t="shared" si="85"/>
        <v>4017.7668292693552</v>
      </c>
      <c r="K60" s="158">
        <f t="shared" si="85"/>
        <v>4098.122165854742</v>
      </c>
      <c r="L60" s="158">
        <f t="shared" si="85"/>
        <v>4180.0846091718367</v>
      </c>
      <c r="M60" s="158">
        <f t="shared" si="85"/>
        <v>4263.6863013552738</v>
      </c>
      <c r="N60" s="158">
        <f t="shared" si="85"/>
        <v>4348.9600273823798</v>
      </c>
      <c r="O60" s="158">
        <f t="shared" si="85"/>
        <v>4435.9392279300273</v>
      </c>
      <c r="P60" s="158">
        <f t="shared" si="85"/>
        <v>4524.6580124886277</v>
      </c>
      <c r="Q60" s="158">
        <f t="shared" si="85"/>
        <v>4615.1511727384004</v>
      </c>
      <c r="R60" s="158">
        <f t="shared" si="85"/>
        <v>4707.4541961931682</v>
      </c>
      <c r="S60" s="158">
        <f t="shared" si="85"/>
        <v>4801.6032801170313</v>
      </c>
      <c r="T60" s="158">
        <f t="shared" si="85"/>
        <v>4897.6353457193718</v>
      </c>
      <c r="U60" s="158">
        <f t="shared" si="85"/>
        <v>4995.5880526337596</v>
      </c>
      <c r="V60" s="158">
        <f t="shared" si="85"/>
        <v>5095.4998136864342</v>
      </c>
      <c r="W60" s="158">
        <f t="shared" si="85"/>
        <v>5197.4098099601633</v>
      </c>
      <c r="X60" s="158">
        <f t="shared" si="85"/>
        <v>5301.3580061593657</v>
      </c>
      <c r="Y60" s="158">
        <f t="shared" si="85"/>
        <v>5407.3851662825537</v>
      </c>
      <c r="Z60" s="158">
        <f t="shared" si="85"/>
        <v>5515.5328696082042</v>
      </c>
      <c r="AA60" s="158">
        <f t="shared" si="85"/>
        <v>5625.8435270003692</v>
      </c>
      <c r="AB60" s="158">
        <f t="shared" si="85"/>
        <v>5738.3603975403767</v>
      </c>
      <c r="AC60" s="158">
        <f t="shared" si="85"/>
        <v>5853.1276054911841</v>
      </c>
      <c r="AD60" s="158">
        <f t="shared" si="85"/>
        <v>5970.1901576010077</v>
      </c>
      <c r="AE60" s="158">
        <f t="shared" si="85"/>
        <v>6089.593960753029</v>
      </c>
      <c r="AF60" s="158">
        <f t="shared" si="85"/>
        <v>6211.3858399680885</v>
      </c>
      <c r="AG60" s="158">
        <f t="shared" si="85"/>
        <v>6335.613556767451</v>
      </c>
      <c r="AH60" s="158">
        <f t="shared" ref="AH60:BD60" si="86">AH52*$B$27</f>
        <v>6462.3258279027987</v>
      </c>
      <c r="AI60" s="158">
        <f t="shared" si="86"/>
        <v>6591.5723444608557</v>
      </c>
      <c r="AJ60" s="158">
        <f t="shared" si="86"/>
        <v>6723.4037913500715</v>
      </c>
      <c r="AK60" s="158">
        <f t="shared" si="86"/>
        <v>6857.8718671770748</v>
      </c>
      <c r="AL60" s="158">
        <f t="shared" si="86"/>
        <v>6995.0293045206163</v>
      </c>
      <c r="AM60" s="158">
        <f t="shared" si="86"/>
        <v>7134.9298906110271</v>
      </c>
      <c r="AN60" s="158">
        <f t="shared" si="86"/>
        <v>7277.6284884232491</v>
      </c>
      <c r="AO60" s="158">
        <f t="shared" si="86"/>
        <v>7423.1810581917143</v>
      </c>
      <c r="AP60" s="158">
        <f t="shared" si="86"/>
        <v>7571.6446793555479</v>
      </c>
      <c r="AQ60" s="158">
        <f t="shared" si="86"/>
        <v>7723.0775729426596</v>
      </c>
      <c r="AR60" s="158">
        <f t="shared" si="86"/>
        <v>7877.5391244015109</v>
      </c>
      <c r="AS60" s="158">
        <f t="shared" si="86"/>
        <v>8035.0899068895415</v>
      </c>
      <c r="AT60" s="158">
        <f t="shared" si="86"/>
        <v>8195.7917050273336</v>
      </c>
      <c r="AU60" s="158">
        <f t="shared" si="86"/>
        <v>8359.7075391278777</v>
      </c>
      <c r="AV60" s="158">
        <f t="shared" si="86"/>
        <v>8526.9016899104354</v>
      </c>
      <c r="AW60" s="158">
        <f t="shared" si="86"/>
        <v>8697.439723708645</v>
      </c>
      <c r="AX60" s="158">
        <f t="shared" si="86"/>
        <v>8871.3885181828173</v>
      </c>
      <c r="AY60" s="158">
        <f t="shared" si="86"/>
        <v>9048.8162885464735</v>
      </c>
      <c r="AZ60" s="158">
        <f t="shared" si="86"/>
        <v>9229.7926143174063</v>
      </c>
      <c r="BA60" s="158">
        <f t="shared" si="86"/>
        <v>9414.388466603752</v>
      </c>
      <c r="BB60" s="158">
        <f t="shared" si="86"/>
        <v>9602.6762359358272</v>
      </c>
      <c r="BC60" s="158">
        <f t="shared" si="86"/>
        <v>9794.7297606545435</v>
      </c>
      <c r="BD60" s="158">
        <f t="shared" si="86"/>
        <v>9990.6243558676342</v>
      </c>
    </row>
    <row r="61" spans="1:56" x14ac:dyDescent="0.25">
      <c r="A61" s="113" t="s">
        <v>248</v>
      </c>
      <c r="B61" s="191">
        <f>SUM(B56:B60)</f>
        <v>26908.333333333332</v>
      </c>
      <c r="C61" s="191">
        <f t="shared" ref="C61:BD61" si="87">SUM(C56:C60)</f>
        <v>26938.333333333332</v>
      </c>
      <c r="D61" s="191">
        <f t="shared" si="87"/>
        <v>26968.783333333333</v>
      </c>
      <c r="E61" s="191">
        <f t="shared" si="87"/>
        <v>11562.356749999999</v>
      </c>
      <c r="F61" s="191">
        <f t="shared" si="87"/>
        <v>15834.522609311543</v>
      </c>
      <c r="G61" s="191">
        <f t="shared" si="87"/>
        <v>15940.599425991524</v>
      </c>
      <c r="H61" s="191">
        <f t="shared" si="87"/>
        <v>16048.638574472512</v>
      </c>
      <c r="I61" s="191">
        <f t="shared" si="87"/>
        <v>16158.676913322535</v>
      </c>
      <c r="J61" s="191">
        <f t="shared" si="87"/>
        <v>16270.752002459965</v>
      </c>
      <c r="K61" s="191">
        <f t="shared" si="87"/>
        <v>16384.902116643214</v>
      </c>
      <c r="L61" s="191">
        <f t="shared" si="87"/>
        <v>16501.166259222133</v>
      </c>
      <c r="M61" s="191">
        <f t="shared" si="87"/>
        <v>16619.584176156328</v>
      </c>
      <c r="N61" s="191">
        <f t="shared" si="87"/>
        <v>16740.19637030545</v>
      </c>
      <c r="O61" s="191">
        <f t="shared" si="87"/>
        <v>16863.044115996941</v>
      </c>
      <c r="P61" s="191">
        <f t="shared" si="87"/>
        <v>16988.169473876544</v>
      </c>
      <c r="Q61" s="191">
        <f t="shared" si="87"/>
        <v>17115.615306047133</v>
      </c>
      <c r="R61" s="191">
        <f t="shared" si="87"/>
        <v>17245.425291501535</v>
      </c>
      <c r="S61" s="191">
        <f t="shared" si="87"/>
        <v>17377.643941855022</v>
      </c>
      <c r="T61" s="191">
        <f t="shared" si="87"/>
        <v>17512.316617383432</v>
      </c>
      <c r="U61" s="191">
        <f t="shared" si="87"/>
        <v>17649.489543372783</v>
      </c>
      <c r="V61" s="191">
        <f t="shared" si="87"/>
        <v>17789.20982678654</v>
      </c>
      <c r="W61" s="191">
        <f t="shared" si="87"/>
        <v>17931.52547325677</v>
      </c>
      <c r="X61" s="191">
        <f t="shared" si="87"/>
        <v>18076.485404405423</v>
      </c>
      <c r="Y61" s="191">
        <f t="shared" si="87"/>
        <v>18224.139475502303</v>
      </c>
      <c r="Z61" s="191">
        <f t="shared" si="87"/>
        <v>18374.538493466247</v>
      </c>
      <c r="AA61" s="191">
        <f t="shared" si="87"/>
        <v>18527.734235216281</v>
      </c>
      <c r="AB61" s="191">
        <f t="shared" si="87"/>
        <v>18683.779466379528</v>
      </c>
      <c r="AC61" s="191">
        <f t="shared" si="87"/>
        <v>18842.727960362925</v>
      </c>
      <c r="AD61" s="191">
        <f t="shared" si="87"/>
        <v>19004.634517795821</v>
      </c>
      <c r="AE61" s="191">
        <f t="shared" si="87"/>
        <v>19169.554986350766</v>
      </c>
      <c r="AF61" s="191">
        <f t="shared" si="87"/>
        <v>19337.546280949791</v>
      </c>
      <c r="AG61" s="191">
        <f t="shared" si="87"/>
        <v>19508.666404363878</v>
      </c>
      <c r="AH61" s="191">
        <f t="shared" si="87"/>
        <v>19682.974468213171</v>
      </c>
      <c r="AI61" s="191">
        <f t="shared" si="87"/>
        <v>19860.530714375884</v>
      </c>
      <c r="AJ61" s="191">
        <f t="shared" si="87"/>
        <v>20041.396536813827</v>
      </c>
      <c r="AK61" s="191">
        <f t="shared" si="87"/>
        <v>20225.634503822788</v>
      </c>
      <c r="AL61" s="191">
        <f t="shared" si="87"/>
        <v>20413.308380716015</v>
      </c>
      <c r="AM61" s="191">
        <f t="shared" si="87"/>
        <v>20604.483152949353</v>
      </c>
      <c r="AN61" s="191">
        <f t="shared" si="87"/>
        <v>20799.225049696652</v>
      </c>
      <c r="AO61" s="191">
        <f t="shared" si="87"/>
        <v>20997.601567884216</v>
      </c>
      <c r="AP61" s="191">
        <f t="shared" si="87"/>
        <v>21199.68149669344</v>
      </c>
      <c r="AQ61" s="191">
        <f t="shared" si="87"/>
        <v>21405.534942540617</v>
      </c>
      <c r="AR61" s="191">
        <f t="shared" si="87"/>
        <v>21615.233354543438</v>
      </c>
      <c r="AS61" s="191">
        <f t="shared" si="87"/>
        <v>21828.849550483596</v>
      </c>
      <c r="AT61" s="191">
        <f t="shared" si="87"/>
        <v>22046.457743275299</v>
      </c>
      <c r="AU61" s="191">
        <f t="shared" si="87"/>
        <v>22268.133567949561</v>
      </c>
      <c r="AV61" s="191">
        <f t="shared" si="87"/>
        <v>22493.954109164446</v>
      </c>
      <c r="AW61" s="191">
        <f t="shared" si="87"/>
        <v>22723.997929251465</v>
      </c>
      <c r="AX61" s="191">
        <f t="shared" si="87"/>
        <v>22958.345096808778</v>
      </c>
      <c r="AY61" s="191">
        <f t="shared" si="87"/>
        <v>23197.077215851823</v>
      </c>
      <c r="AZ61" s="191">
        <f t="shared" si="87"/>
        <v>23440.277455532338</v>
      </c>
      <c r="BA61" s="191">
        <f t="shared" si="87"/>
        <v>23688.030580436905</v>
      </c>
      <c r="BB61" s="191">
        <f t="shared" si="87"/>
        <v>23940.422981476477</v>
      </c>
      <c r="BC61" s="191">
        <f t="shared" si="87"/>
        <v>24197.542707378307</v>
      </c>
      <c r="BD61" s="191">
        <f t="shared" si="87"/>
        <v>24459.47949679225</v>
      </c>
    </row>
    <row r="62" spans="1:56" x14ac:dyDescent="0.25">
      <c r="A62" s="129" t="s">
        <v>626</v>
      </c>
      <c r="B62" s="229">
        <f>B61-B56-B57</f>
        <v>2000</v>
      </c>
      <c r="C62" s="229">
        <f t="shared" ref="C62:BD62" si="88">C61-C56-C57</f>
        <v>2030</v>
      </c>
      <c r="D62" s="229">
        <f t="shared" si="88"/>
        <v>2060.4500000000007</v>
      </c>
      <c r="E62" s="229">
        <f t="shared" si="88"/>
        <v>2091.356749999999</v>
      </c>
      <c r="F62" s="229">
        <f t="shared" si="88"/>
        <v>15834.522609311543</v>
      </c>
      <c r="G62" s="229">
        <f t="shared" si="88"/>
        <v>15940.599425991524</v>
      </c>
      <c r="H62" s="229">
        <f t="shared" si="88"/>
        <v>16048.638574472512</v>
      </c>
      <c r="I62" s="229">
        <f t="shared" si="88"/>
        <v>16158.676913322535</v>
      </c>
      <c r="J62" s="229">
        <f t="shared" si="88"/>
        <v>16270.752002459965</v>
      </c>
      <c r="K62" s="229">
        <f t="shared" si="88"/>
        <v>16384.902116643214</v>
      </c>
      <c r="L62" s="229">
        <f t="shared" si="88"/>
        <v>16501.166259222133</v>
      </c>
      <c r="M62" s="229">
        <f t="shared" si="88"/>
        <v>16619.584176156328</v>
      </c>
      <c r="N62" s="229">
        <f t="shared" si="88"/>
        <v>16740.19637030545</v>
      </c>
      <c r="O62" s="229">
        <f t="shared" si="88"/>
        <v>16863.044115996941</v>
      </c>
      <c r="P62" s="229">
        <f t="shared" si="88"/>
        <v>16988.169473876544</v>
      </c>
      <c r="Q62" s="229">
        <f t="shared" si="88"/>
        <v>17115.615306047133</v>
      </c>
      <c r="R62" s="229">
        <f t="shared" si="88"/>
        <v>17245.425291501535</v>
      </c>
      <c r="S62" s="229">
        <f t="shared" si="88"/>
        <v>17377.643941855022</v>
      </c>
      <c r="T62" s="229">
        <f t="shared" si="88"/>
        <v>17512.316617383432</v>
      </c>
      <c r="U62" s="229">
        <f t="shared" si="88"/>
        <v>17649.489543372783</v>
      </c>
      <c r="V62" s="229">
        <f t="shared" si="88"/>
        <v>17789.20982678654</v>
      </c>
      <c r="W62" s="229">
        <f t="shared" si="88"/>
        <v>17931.52547325677</v>
      </c>
      <c r="X62" s="229">
        <f t="shared" si="88"/>
        <v>18076.485404405423</v>
      </c>
      <c r="Y62" s="229">
        <f t="shared" si="88"/>
        <v>18224.139475502303</v>
      </c>
      <c r="Z62" s="229">
        <f t="shared" si="88"/>
        <v>18374.538493466247</v>
      </c>
      <c r="AA62" s="229">
        <f t="shared" si="88"/>
        <v>18527.734235216281</v>
      </c>
      <c r="AB62" s="229">
        <f t="shared" si="88"/>
        <v>18683.779466379528</v>
      </c>
      <c r="AC62" s="229">
        <f t="shared" si="88"/>
        <v>18842.727960362925</v>
      </c>
      <c r="AD62" s="229">
        <f t="shared" si="88"/>
        <v>19004.634517795821</v>
      </c>
      <c r="AE62" s="229">
        <f t="shared" si="88"/>
        <v>19169.554986350766</v>
      </c>
      <c r="AF62" s="229">
        <f t="shared" si="88"/>
        <v>19337.546280949791</v>
      </c>
      <c r="AG62" s="229">
        <f t="shared" si="88"/>
        <v>19508.666404363878</v>
      </c>
      <c r="AH62" s="229">
        <f t="shared" si="88"/>
        <v>19682.974468213171</v>
      </c>
      <c r="AI62" s="229">
        <f t="shared" si="88"/>
        <v>19860.530714375884</v>
      </c>
      <c r="AJ62" s="229">
        <f t="shared" si="88"/>
        <v>20041.396536813827</v>
      </c>
      <c r="AK62" s="229">
        <f t="shared" si="88"/>
        <v>20225.634503822788</v>
      </c>
      <c r="AL62" s="229">
        <f t="shared" si="88"/>
        <v>20413.308380716015</v>
      </c>
      <c r="AM62" s="229">
        <f t="shared" si="88"/>
        <v>20604.483152949353</v>
      </c>
      <c r="AN62" s="229">
        <f t="shared" si="88"/>
        <v>20799.225049696652</v>
      </c>
      <c r="AO62" s="229">
        <f t="shared" si="88"/>
        <v>20997.601567884216</v>
      </c>
      <c r="AP62" s="229">
        <f t="shared" si="88"/>
        <v>21199.68149669344</v>
      </c>
      <c r="AQ62" s="229">
        <f t="shared" si="88"/>
        <v>21405.534942540617</v>
      </c>
      <c r="AR62" s="229">
        <f t="shared" si="88"/>
        <v>21615.233354543438</v>
      </c>
      <c r="AS62" s="229">
        <f t="shared" si="88"/>
        <v>21828.849550483596</v>
      </c>
      <c r="AT62" s="229">
        <f t="shared" si="88"/>
        <v>22046.457743275299</v>
      </c>
      <c r="AU62" s="229">
        <f t="shared" si="88"/>
        <v>22268.133567949561</v>
      </c>
      <c r="AV62" s="229">
        <f t="shared" si="88"/>
        <v>22493.954109164446</v>
      </c>
      <c r="AW62" s="229">
        <f t="shared" si="88"/>
        <v>22723.997929251465</v>
      </c>
      <c r="AX62" s="229">
        <f t="shared" si="88"/>
        <v>22958.345096808778</v>
      </c>
      <c r="AY62" s="229">
        <f t="shared" si="88"/>
        <v>23197.077215851823</v>
      </c>
      <c r="AZ62" s="229">
        <f t="shared" si="88"/>
        <v>23440.277455532338</v>
      </c>
      <c r="BA62" s="229">
        <f t="shared" si="88"/>
        <v>23688.030580436905</v>
      </c>
      <c r="BB62" s="229">
        <f t="shared" si="88"/>
        <v>23940.422981476477</v>
      </c>
      <c r="BC62" s="229">
        <f t="shared" si="88"/>
        <v>24197.542707378307</v>
      </c>
      <c r="BD62" s="229">
        <f t="shared" si="88"/>
        <v>24459.47949679225</v>
      </c>
    </row>
    <row r="64" spans="1:56" x14ac:dyDescent="0.25">
      <c r="A64" s="3" t="s">
        <v>56</v>
      </c>
      <c r="B64" s="131">
        <f>B55</f>
        <v>44593</v>
      </c>
      <c r="C64" s="131">
        <f t="shared" ref="C64:BD64" si="89">C55</f>
        <v>44624</v>
      </c>
      <c r="D64" s="131">
        <f t="shared" si="89"/>
        <v>44655</v>
      </c>
      <c r="E64" s="131">
        <f t="shared" si="89"/>
        <v>44686</v>
      </c>
      <c r="F64" s="131">
        <f t="shared" si="89"/>
        <v>44717</v>
      </c>
      <c r="G64" s="131">
        <f t="shared" si="89"/>
        <v>44748</v>
      </c>
      <c r="H64" s="131">
        <f t="shared" si="89"/>
        <v>44779</v>
      </c>
      <c r="I64" s="131">
        <f t="shared" si="89"/>
        <v>44810</v>
      </c>
      <c r="J64" s="131">
        <f t="shared" si="89"/>
        <v>44841</v>
      </c>
      <c r="K64" s="131">
        <f t="shared" si="89"/>
        <v>44872</v>
      </c>
      <c r="L64" s="131">
        <f t="shared" si="89"/>
        <v>44903</v>
      </c>
      <c r="M64" s="131">
        <f t="shared" si="89"/>
        <v>44934</v>
      </c>
      <c r="N64" s="131">
        <f t="shared" si="89"/>
        <v>44965</v>
      </c>
      <c r="O64" s="131">
        <f t="shared" si="89"/>
        <v>44996</v>
      </c>
      <c r="P64" s="131">
        <f t="shared" si="89"/>
        <v>45027</v>
      </c>
      <c r="Q64" s="131">
        <f t="shared" si="89"/>
        <v>45058</v>
      </c>
      <c r="R64" s="131">
        <f t="shared" si="89"/>
        <v>45089</v>
      </c>
      <c r="S64" s="131">
        <f t="shared" si="89"/>
        <v>45120</v>
      </c>
      <c r="T64" s="131">
        <f t="shared" si="89"/>
        <v>45151</v>
      </c>
      <c r="U64" s="131">
        <f t="shared" si="89"/>
        <v>45182</v>
      </c>
      <c r="V64" s="131">
        <f t="shared" si="89"/>
        <v>45213</v>
      </c>
      <c r="W64" s="131">
        <f t="shared" si="89"/>
        <v>45244</v>
      </c>
      <c r="X64" s="131">
        <f t="shared" si="89"/>
        <v>45275</v>
      </c>
      <c r="Y64" s="131">
        <f t="shared" si="89"/>
        <v>45306</v>
      </c>
      <c r="Z64" s="131">
        <f t="shared" si="89"/>
        <v>45337</v>
      </c>
      <c r="AA64" s="131">
        <f t="shared" si="89"/>
        <v>45368</v>
      </c>
      <c r="AB64" s="131">
        <f t="shared" si="89"/>
        <v>45399</v>
      </c>
      <c r="AC64" s="131">
        <f t="shared" si="89"/>
        <v>45430</v>
      </c>
      <c r="AD64" s="131">
        <f t="shared" si="89"/>
        <v>45461</v>
      </c>
      <c r="AE64" s="131">
        <f t="shared" si="89"/>
        <v>45492</v>
      </c>
      <c r="AF64" s="131">
        <f t="shared" si="89"/>
        <v>45523</v>
      </c>
      <c r="AG64" s="131">
        <f t="shared" si="89"/>
        <v>45554</v>
      </c>
      <c r="AH64" s="131">
        <f t="shared" si="89"/>
        <v>45585</v>
      </c>
      <c r="AI64" s="131">
        <f t="shared" si="89"/>
        <v>45616</v>
      </c>
      <c r="AJ64" s="131">
        <f t="shared" si="89"/>
        <v>45647</v>
      </c>
      <c r="AK64" s="131">
        <f t="shared" si="89"/>
        <v>45678</v>
      </c>
      <c r="AL64" s="131">
        <f t="shared" si="89"/>
        <v>45709</v>
      </c>
      <c r="AM64" s="131">
        <f t="shared" si="89"/>
        <v>45740</v>
      </c>
      <c r="AN64" s="131">
        <f t="shared" si="89"/>
        <v>45771</v>
      </c>
      <c r="AO64" s="131">
        <f t="shared" si="89"/>
        <v>45802</v>
      </c>
      <c r="AP64" s="131">
        <f t="shared" si="89"/>
        <v>45833</v>
      </c>
      <c r="AQ64" s="131">
        <f t="shared" si="89"/>
        <v>45864</v>
      </c>
      <c r="AR64" s="131">
        <f t="shared" si="89"/>
        <v>45895</v>
      </c>
      <c r="AS64" s="131">
        <f t="shared" si="89"/>
        <v>45926</v>
      </c>
      <c r="AT64" s="131">
        <f t="shared" si="89"/>
        <v>45957</v>
      </c>
      <c r="AU64" s="131">
        <f t="shared" si="89"/>
        <v>45988</v>
      </c>
      <c r="AV64" s="131">
        <f t="shared" si="89"/>
        <v>46019</v>
      </c>
      <c r="AW64" s="131">
        <f t="shared" si="89"/>
        <v>46050</v>
      </c>
      <c r="AX64" s="131">
        <f t="shared" si="89"/>
        <v>46081</v>
      </c>
      <c r="AY64" s="131">
        <f t="shared" si="89"/>
        <v>46112</v>
      </c>
      <c r="AZ64" s="131">
        <f t="shared" si="89"/>
        <v>46143</v>
      </c>
      <c r="BA64" s="131">
        <f t="shared" si="89"/>
        <v>46174</v>
      </c>
      <c r="BB64" s="131">
        <f t="shared" si="89"/>
        <v>46205</v>
      </c>
      <c r="BC64" s="131">
        <f t="shared" si="89"/>
        <v>46236</v>
      </c>
      <c r="BD64" s="131">
        <f t="shared" si="89"/>
        <v>46267</v>
      </c>
    </row>
    <row r="65" spans="1:56" outlineLevel="1" x14ac:dyDescent="0.25">
      <c r="A65" s="18" t="s">
        <v>249</v>
      </c>
      <c r="B65" s="114">
        <f t="shared" ref="B65:M65" si="90">B52</f>
        <v>0</v>
      </c>
      <c r="C65" s="114">
        <f t="shared" si="90"/>
        <v>0</v>
      </c>
      <c r="D65" s="114">
        <f t="shared" si="90"/>
        <v>0</v>
      </c>
      <c r="E65" s="114">
        <f t="shared" si="90"/>
        <v>0</v>
      </c>
      <c r="F65" s="114">
        <f t="shared" si="90"/>
        <v>185589.77540307722</v>
      </c>
      <c r="G65" s="114">
        <f t="shared" si="90"/>
        <v>189301.57091113881</v>
      </c>
      <c r="H65" s="114">
        <f t="shared" si="90"/>
        <v>193087.6023293616</v>
      </c>
      <c r="I65" s="114">
        <f t="shared" si="90"/>
        <v>196949.35437594881</v>
      </c>
      <c r="J65" s="114">
        <f t="shared" si="90"/>
        <v>200888.34146346775</v>
      </c>
      <c r="K65" s="114">
        <f t="shared" si="90"/>
        <v>204906.10829273707</v>
      </c>
      <c r="L65" s="114">
        <f t="shared" si="90"/>
        <v>209004.23045859183</v>
      </c>
      <c r="M65" s="114">
        <f t="shared" si="90"/>
        <v>213184.3150677637</v>
      </c>
      <c r="N65" s="114">
        <f t="shared" ref="N65:BD65" si="91">N52</f>
        <v>217448.00136911898</v>
      </c>
      <c r="O65" s="114">
        <f t="shared" si="91"/>
        <v>221796.96139650137</v>
      </c>
      <c r="P65" s="114">
        <f t="shared" si="91"/>
        <v>226232.90062443138</v>
      </c>
      <c r="Q65" s="114">
        <f t="shared" si="91"/>
        <v>230757.55863692</v>
      </c>
      <c r="R65" s="114">
        <f t="shared" si="91"/>
        <v>235372.70980965841</v>
      </c>
      <c r="S65" s="114">
        <f t="shared" si="91"/>
        <v>240080.16400585158</v>
      </c>
      <c r="T65" s="114">
        <f t="shared" si="91"/>
        <v>244881.76728596858</v>
      </c>
      <c r="U65" s="114">
        <f t="shared" si="91"/>
        <v>249779.40263168796</v>
      </c>
      <c r="V65" s="114">
        <f t="shared" si="91"/>
        <v>254774.9906843217</v>
      </c>
      <c r="W65" s="114">
        <f t="shared" si="91"/>
        <v>259870.49049800815</v>
      </c>
      <c r="X65" s="114">
        <f t="shared" si="91"/>
        <v>265067.90030796826</v>
      </c>
      <c r="Y65" s="114">
        <f t="shared" si="91"/>
        <v>270369.25831412768</v>
      </c>
      <c r="Z65" s="114">
        <f t="shared" si="91"/>
        <v>275776.64348041022</v>
      </c>
      <c r="AA65" s="114">
        <f t="shared" si="91"/>
        <v>281292.17635001848</v>
      </c>
      <c r="AB65" s="114">
        <f t="shared" si="91"/>
        <v>286918.01987701881</v>
      </c>
      <c r="AC65" s="114">
        <f t="shared" si="91"/>
        <v>292656.3802745592</v>
      </c>
      <c r="AD65" s="114">
        <f t="shared" si="91"/>
        <v>298509.5078800504</v>
      </c>
      <c r="AE65" s="114">
        <f t="shared" si="91"/>
        <v>304479.69803765143</v>
      </c>
      <c r="AF65" s="114">
        <f t="shared" si="91"/>
        <v>310569.29199840443</v>
      </c>
      <c r="AG65" s="114">
        <f t="shared" si="91"/>
        <v>316780.67783837253</v>
      </c>
      <c r="AH65" s="114">
        <f t="shared" si="91"/>
        <v>323116.29139513994</v>
      </c>
      <c r="AI65" s="114">
        <f t="shared" si="91"/>
        <v>329578.61722304276</v>
      </c>
      <c r="AJ65" s="114">
        <f t="shared" si="91"/>
        <v>336170.18956750358</v>
      </c>
      <c r="AK65" s="114">
        <f t="shared" si="91"/>
        <v>342893.59335885372</v>
      </c>
      <c r="AL65" s="114">
        <f t="shared" si="91"/>
        <v>349751.46522603079</v>
      </c>
      <c r="AM65" s="114">
        <f t="shared" si="91"/>
        <v>356746.49453055137</v>
      </c>
      <c r="AN65" s="114">
        <f t="shared" si="91"/>
        <v>363881.42442116246</v>
      </c>
      <c r="AO65" s="114">
        <f t="shared" si="91"/>
        <v>371159.05290958571</v>
      </c>
      <c r="AP65" s="114">
        <f t="shared" si="91"/>
        <v>378582.2339677774</v>
      </c>
      <c r="AQ65" s="114">
        <f t="shared" si="91"/>
        <v>386153.87864713295</v>
      </c>
      <c r="AR65" s="114">
        <f t="shared" si="91"/>
        <v>393876.95622007555</v>
      </c>
      <c r="AS65" s="114">
        <f t="shared" si="91"/>
        <v>401754.49534447707</v>
      </c>
      <c r="AT65" s="114">
        <f t="shared" si="91"/>
        <v>409789.58525136666</v>
      </c>
      <c r="AU65" s="114">
        <f t="shared" si="91"/>
        <v>417985.37695639388</v>
      </c>
      <c r="AV65" s="114">
        <f t="shared" si="91"/>
        <v>426345.08449552179</v>
      </c>
      <c r="AW65" s="114">
        <f t="shared" si="91"/>
        <v>434871.98618543224</v>
      </c>
      <c r="AX65" s="114">
        <f t="shared" si="91"/>
        <v>443569.42590914085</v>
      </c>
      <c r="AY65" s="114">
        <f t="shared" si="91"/>
        <v>452440.8144273237</v>
      </c>
      <c r="AZ65" s="114">
        <f t="shared" si="91"/>
        <v>461489.6307158703</v>
      </c>
      <c r="BA65" s="114">
        <f t="shared" si="91"/>
        <v>470719.42333018756</v>
      </c>
      <c r="BB65" s="114">
        <f t="shared" si="91"/>
        <v>480133.81179679139</v>
      </c>
      <c r="BC65" s="114">
        <f t="shared" si="91"/>
        <v>489736.48803272715</v>
      </c>
      <c r="BD65" s="114">
        <f t="shared" si="91"/>
        <v>499531.21779338166</v>
      </c>
    </row>
    <row r="66" spans="1:56" ht="17" outlineLevel="1" thickBot="1" x14ac:dyDescent="0.3">
      <c r="A66" s="18" t="s">
        <v>112</v>
      </c>
      <c r="B66" s="114">
        <f t="shared" ref="B66:M66" si="92">B61</f>
        <v>26908.333333333332</v>
      </c>
      <c r="C66" s="114">
        <f t="shared" si="92"/>
        <v>26938.333333333332</v>
      </c>
      <c r="D66" s="114">
        <f t="shared" si="92"/>
        <v>26968.783333333333</v>
      </c>
      <c r="E66" s="114">
        <f t="shared" si="92"/>
        <v>11562.356749999999</v>
      </c>
      <c r="F66" s="114">
        <f t="shared" si="92"/>
        <v>15834.522609311543</v>
      </c>
      <c r="G66" s="114">
        <f t="shared" si="92"/>
        <v>15940.599425991524</v>
      </c>
      <c r="H66" s="114">
        <f t="shared" si="92"/>
        <v>16048.638574472512</v>
      </c>
      <c r="I66" s="114">
        <f t="shared" si="92"/>
        <v>16158.676913322535</v>
      </c>
      <c r="J66" s="114">
        <f t="shared" si="92"/>
        <v>16270.752002459965</v>
      </c>
      <c r="K66" s="114">
        <f t="shared" si="92"/>
        <v>16384.902116643214</v>
      </c>
      <c r="L66" s="114">
        <f t="shared" si="92"/>
        <v>16501.166259222133</v>
      </c>
      <c r="M66" s="114">
        <f t="shared" si="92"/>
        <v>16619.584176156328</v>
      </c>
      <c r="N66" s="114">
        <f t="shared" ref="N66:BD66" si="93">N61</f>
        <v>16740.19637030545</v>
      </c>
      <c r="O66" s="114">
        <f t="shared" si="93"/>
        <v>16863.044115996941</v>
      </c>
      <c r="P66" s="114">
        <f t="shared" si="93"/>
        <v>16988.169473876544</v>
      </c>
      <c r="Q66" s="114">
        <f t="shared" si="93"/>
        <v>17115.615306047133</v>
      </c>
      <c r="R66" s="114">
        <f t="shared" si="93"/>
        <v>17245.425291501535</v>
      </c>
      <c r="S66" s="114">
        <f t="shared" si="93"/>
        <v>17377.643941855022</v>
      </c>
      <c r="T66" s="114">
        <f t="shared" si="93"/>
        <v>17512.316617383432</v>
      </c>
      <c r="U66" s="114">
        <f t="shared" si="93"/>
        <v>17649.489543372783</v>
      </c>
      <c r="V66" s="114">
        <f t="shared" si="93"/>
        <v>17789.20982678654</v>
      </c>
      <c r="W66" s="114">
        <f t="shared" si="93"/>
        <v>17931.52547325677</v>
      </c>
      <c r="X66" s="114">
        <f t="shared" si="93"/>
        <v>18076.485404405423</v>
      </c>
      <c r="Y66" s="114">
        <f t="shared" si="93"/>
        <v>18224.139475502303</v>
      </c>
      <c r="Z66" s="114">
        <f t="shared" si="93"/>
        <v>18374.538493466247</v>
      </c>
      <c r="AA66" s="114">
        <f t="shared" si="93"/>
        <v>18527.734235216281</v>
      </c>
      <c r="AB66" s="114">
        <f t="shared" si="93"/>
        <v>18683.779466379528</v>
      </c>
      <c r="AC66" s="114">
        <f t="shared" si="93"/>
        <v>18842.727960362925</v>
      </c>
      <c r="AD66" s="114">
        <f t="shared" si="93"/>
        <v>19004.634517795821</v>
      </c>
      <c r="AE66" s="114">
        <f t="shared" si="93"/>
        <v>19169.554986350766</v>
      </c>
      <c r="AF66" s="114">
        <f t="shared" si="93"/>
        <v>19337.546280949791</v>
      </c>
      <c r="AG66" s="114">
        <f t="shared" si="93"/>
        <v>19508.666404363878</v>
      </c>
      <c r="AH66" s="114">
        <f t="shared" si="93"/>
        <v>19682.974468213171</v>
      </c>
      <c r="AI66" s="114">
        <f t="shared" si="93"/>
        <v>19860.530714375884</v>
      </c>
      <c r="AJ66" s="114">
        <f t="shared" si="93"/>
        <v>20041.396536813827</v>
      </c>
      <c r="AK66" s="114">
        <f t="shared" si="93"/>
        <v>20225.634503822788</v>
      </c>
      <c r="AL66" s="114">
        <f t="shared" si="93"/>
        <v>20413.308380716015</v>
      </c>
      <c r="AM66" s="114">
        <f t="shared" si="93"/>
        <v>20604.483152949353</v>
      </c>
      <c r="AN66" s="114">
        <f t="shared" si="93"/>
        <v>20799.225049696652</v>
      </c>
      <c r="AO66" s="114">
        <f t="shared" si="93"/>
        <v>20997.601567884216</v>
      </c>
      <c r="AP66" s="114">
        <f t="shared" si="93"/>
        <v>21199.68149669344</v>
      </c>
      <c r="AQ66" s="114">
        <f t="shared" si="93"/>
        <v>21405.534942540617</v>
      </c>
      <c r="AR66" s="114">
        <f t="shared" si="93"/>
        <v>21615.233354543438</v>
      </c>
      <c r="AS66" s="114">
        <f t="shared" si="93"/>
        <v>21828.849550483596</v>
      </c>
      <c r="AT66" s="114">
        <f t="shared" si="93"/>
        <v>22046.457743275299</v>
      </c>
      <c r="AU66" s="114">
        <f t="shared" si="93"/>
        <v>22268.133567949561</v>
      </c>
      <c r="AV66" s="114">
        <f t="shared" si="93"/>
        <v>22493.954109164446</v>
      </c>
      <c r="AW66" s="114">
        <f t="shared" si="93"/>
        <v>22723.997929251465</v>
      </c>
      <c r="AX66" s="114">
        <f t="shared" si="93"/>
        <v>22958.345096808778</v>
      </c>
      <c r="AY66" s="114">
        <f t="shared" si="93"/>
        <v>23197.077215851823</v>
      </c>
      <c r="AZ66" s="114">
        <f t="shared" si="93"/>
        <v>23440.277455532338</v>
      </c>
      <c r="BA66" s="114">
        <f t="shared" si="93"/>
        <v>23688.030580436905</v>
      </c>
      <c r="BB66" s="114">
        <f t="shared" si="93"/>
        <v>23940.422981476477</v>
      </c>
      <c r="BC66" s="114">
        <f t="shared" si="93"/>
        <v>24197.542707378307</v>
      </c>
      <c r="BD66" s="114">
        <f t="shared" si="93"/>
        <v>24459.47949679225</v>
      </c>
    </row>
    <row r="67" spans="1:56" x14ac:dyDescent="0.25">
      <c r="A67" s="113" t="s">
        <v>250</v>
      </c>
      <c r="B67" s="120">
        <f>B65-B66</f>
        <v>-26908.333333333332</v>
      </c>
      <c r="C67" s="120">
        <f t="shared" ref="C67:BD67" si="94">C65-C66</f>
        <v>-26938.333333333332</v>
      </c>
      <c r="D67" s="120">
        <f t="shared" si="94"/>
        <v>-26968.783333333333</v>
      </c>
      <c r="E67" s="120">
        <f t="shared" si="94"/>
        <v>-11562.356749999999</v>
      </c>
      <c r="F67" s="120">
        <f t="shared" si="94"/>
        <v>169755.25279376569</v>
      </c>
      <c r="G67" s="120">
        <f t="shared" si="94"/>
        <v>173360.97148514728</v>
      </c>
      <c r="H67" s="120">
        <f t="shared" si="94"/>
        <v>177038.96375488909</v>
      </c>
      <c r="I67" s="120">
        <f t="shared" si="94"/>
        <v>180790.67746262628</v>
      </c>
      <c r="J67" s="120">
        <f t="shared" si="94"/>
        <v>184617.5894610078</v>
      </c>
      <c r="K67" s="120">
        <f t="shared" si="94"/>
        <v>188521.20617609387</v>
      </c>
      <c r="L67" s="120">
        <f t="shared" si="94"/>
        <v>192503.06419936969</v>
      </c>
      <c r="M67" s="120">
        <f t="shared" si="94"/>
        <v>196564.73089160738</v>
      </c>
      <c r="N67" s="120">
        <f t="shared" si="94"/>
        <v>200707.80499881355</v>
      </c>
      <c r="O67" s="120">
        <f t="shared" si="94"/>
        <v>204933.91728050442</v>
      </c>
      <c r="P67" s="120">
        <f t="shared" si="94"/>
        <v>209244.73115055484</v>
      </c>
      <c r="Q67" s="120">
        <f t="shared" si="94"/>
        <v>213641.94333087286</v>
      </c>
      <c r="R67" s="120">
        <f t="shared" si="94"/>
        <v>218127.28451815687</v>
      </c>
      <c r="S67" s="120">
        <f t="shared" si="94"/>
        <v>222702.52006399655</v>
      </c>
      <c r="T67" s="120">
        <f t="shared" si="94"/>
        <v>227369.45066858514</v>
      </c>
      <c r="U67" s="120">
        <f t="shared" si="94"/>
        <v>232129.91308831517</v>
      </c>
      <c r="V67" s="120">
        <f t="shared" si="94"/>
        <v>236985.78085753517</v>
      </c>
      <c r="W67" s="120">
        <f t="shared" si="94"/>
        <v>241938.96502475138</v>
      </c>
      <c r="X67" s="120">
        <f t="shared" si="94"/>
        <v>246991.41490356284</v>
      </c>
      <c r="Y67" s="120">
        <f t="shared" si="94"/>
        <v>252145.11883862538</v>
      </c>
      <c r="Z67" s="120">
        <f t="shared" si="94"/>
        <v>257402.10498694397</v>
      </c>
      <c r="AA67" s="120">
        <f t="shared" si="94"/>
        <v>262764.44211480219</v>
      </c>
      <c r="AB67" s="120">
        <f t="shared" si="94"/>
        <v>268234.24041063926</v>
      </c>
      <c r="AC67" s="120">
        <f t="shared" si="94"/>
        <v>273813.65231419628</v>
      </c>
      <c r="AD67" s="120">
        <f t="shared" si="94"/>
        <v>279504.87336225458</v>
      </c>
      <c r="AE67" s="120">
        <f t="shared" si="94"/>
        <v>285310.14305130066</v>
      </c>
      <c r="AF67" s="120">
        <f t="shared" si="94"/>
        <v>291231.74571745464</v>
      </c>
      <c r="AG67" s="120">
        <f t="shared" si="94"/>
        <v>297272.01143400866</v>
      </c>
      <c r="AH67" s="120">
        <f t="shared" si="94"/>
        <v>303433.31692692678</v>
      </c>
      <c r="AI67" s="120">
        <f t="shared" si="94"/>
        <v>309718.08650866686</v>
      </c>
      <c r="AJ67" s="120">
        <f t="shared" si="94"/>
        <v>316128.79303068976</v>
      </c>
      <c r="AK67" s="120">
        <f t="shared" si="94"/>
        <v>322667.95885503094</v>
      </c>
      <c r="AL67" s="120">
        <f t="shared" si="94"/>
        <v>329338.15684531478</v>
      </c>
      <c r="AM67" s="120">
        <f t="shared" si="94"/>
        <v>336142.011377602</v>
      </c>
      <c r="AN67" s="120">
        <f t="shared" si="94"/>
        <v>343082.19937146583</v>
      </c>
      <c r="AO67" s="120">
        <f t="shared" si="94"/>
        <v>350161.4513417015</v>
      </c>
      <c r="AP67" s="120">
        <f t="shared" si="94"/>
        <v>357382.55247108394</v>
      </c>
      <c r="AQ67" s="120">
        <f t="shared" si="94"/>
        <v>364748.34370459232</v>
      </c>
      <c r="AR67" s="120">
        <f t="shared" si="94"/>
        <v>372261.72286553209</v>
      </c>
      <c r="AS67" s="120">
        <f t="shared" si="94"/>
        <v>379925.64579399349</v>
      </c>
      <c r="AT67" s="120">
        <f t="shared" si="94"/>
        <v>387743.12750809139</v>
      </c>
      <c r="AU67" s="120">
        <f t="shared" si="94"/>
        <v>395717.2433884443</v>
      </c>
      <c r="AV67" s="120">
        <f t="shared" si="94"/>
        <v>403851.13038635737</v>
      </c>
      <c r="AW67" s="120">
        <f t="shared" si="94"/>
        <v>412147.98825618078</v>
      </c>
      <c r="AX67" s="120">
        <f t="shared" si="94"/>
        <v>420611.08081233205</v>
      </c>
      <c r="AY67" s="120">
        <f t="shared" si="94"/>
        <v>429243.73721147189</v>
      </c>
      <c r="AZ67" s="120">
        <f t="shared" si="94"/>
        <v>438049.35326033796</v>
      </c>
      <c r="BA67" s="120">
        <f t="shared" si="94"/>
        <v>447031.39274975064</v>
      </c>
      <c r="BB67" s="120">
        <f t="shared" si="94"/>
        <v>456193.38881531492</v>
      </c>
      <c r="BC67" s="120">
        <f t="shared" si="94"/>
        <v>465538.94532534888</v>
      </c>
      <c r="BD67" s="120">
        <f t="shared" si="94"/>
        <v>475071.73829658941</v>
      </c>
    </row>
    <row r="68" spans="1:56" x14ac:dyDescent="0.25">
      <c r="A68" s="2" t="s">
        <v>251</v>
      </c>
      <c r="B68" s="132" t="e">
        <f>B67/B65</f>
        <v>#DIV/0!</v>
      </c>
      <c r="C68" s="132" t="e">
        <f t="shared" ref="C68:BD68" si="95">C67/C65</f>
        <v>#DIV/0!</v>
      </c>
      <c r="D68" s="132" t="e">
        <f t="shared" si="95"/>
        <v>#DIV/0!</v>
      </c>
      <c r="E68" s="132" t="e">
        <f t="shared" si="95"/>
        <v>#DIV/0!</v>
      </c>
      <c r="F68" s="132">
        <f t="shared" si="95"/>
        <v>0.91467998398661254</v>
      </c>
      <c r="G68" s="132">
        <f t="shared" si="95"/>
        <v>0.91579256659484187</v>
      </c>
      <c r="H68" s="132">
        <f t="shared" si="95"/>
        <v>0.91688415837751536</v>
      </c>
      <c r="I68" s="132">
        <f t="shared" si="95"/>
        <v>0.9179551668776843</v>
      </c>
      <c r="J68" s="132">
        <f t="shared" si="95"/>
        <v>0.91900599166717278</v>
      </c>
      <c r="K68" s="132">
        <f t="shared" si="95"/>
        <v>0.92003702450277824</v>
      </c>
      <c r="L68" s="132">
        <f t="shared" si="95"/>
        <v>0.92104864947941156</v>
      </c>
      <c r="M68" s="132">
        <f t="shared" si="95"/>
        <v>0.92204124318023328</v>
      </c>
      <c r="N68" s="132">
        <f t="shared" si="95"/>
        <v>0.92301517482384732</v>
      </c>
      <c r="O68" s="132">
        <f t="shared" si="95"/>
        <v>0.92397080640860874</v>
      </c>
      <c r="P68" s="132">
        <f t="shared" si="95"/>
        <v>0.92490849285410281</v>
      </c>
      <c r="Q68" s="132">
        <f t="shared" si="95"/>
        <v>0.92582858213984964</v>
      </c>
      <c r="R68" s="132">
        <f t="shared" si="95"/>
        <v>0.92673141544129056</v>
      </c>
      <c r="S68" s="132">
        <f t="shared" si="95"/>
        <v>0.92761732726310753</v>
      </c>
      <c r="T68" s="132">
        <f t="shared" si="95"/>
        <v>0.92848664556992977</v>
      </c>
      <c r="U68" s="132">
        <f t="shared" si="95"/>
        <v>0.92933969191447774</v>
      </c>
      <c r="V68" s="132">
        <f t="shared" si="95"/>
        <v>0.93017678156319428</v>
      </c>
      <c r="W68" s="132">
        <f t="shared" si="95"/>
        <v>0.93099822361941398</v>
      </c>
      <c r="X68" s="132">
        <f t="shared" si="95"/>
        <v>0.93180432114411693</v>
      </c>
      <c r="Y68" s="132">
        <f t="shared" si="95"/>
        <v>0.93259537127431613</v>
      </c>
      <c r="Z68" s="132">
        <f t="shared" si="95"/>
        <v>0.93337166533912264</v>
      </c>
      <c r="AA68" s="132">
        <f t="shared" si="95"/>
        <v>0.93413348897353699</v>
      </c>
      <c r="AB68" s="132">
        <f t="shared" si="95"/>
        <v>0.93488112223000863</v>
      </c>
      <c r="AC68" s="132">
        <f t="shared" si="95"/>
        <v>0.93561483968780934</v>
      </c>
      <c r="AD68" s="132">
        <f t="shared" si="95"/>
        <v>0.93633491056026119</v>
      </c>
      <c r="AE68" s="132">
        <f t="shared" si="95"/>
        <v>0.93704159879986382</v>
      </c>
      <c r="AF68" s="132">
        <f t="shared" si="95"/>
        <v>0.93773516320136008</v>
      </c>
      <c r="AG68" s="132">
        <f t="shared" si="95"/>
        <v>0.93841585750278123</v>
      </c>
      <c r="AH68" s="132">
        <f t="shared" si="95"/>
        <v>0.93908393048451155</v>
      </c>
      <c r="AI68" s="132">
        <f t="shared" si="95"/>
        <v>0.93973962606641059</v>
      </c>
      <c r="AJ68" s="132">
        <f t="shared" si="95"/>
        <v>0.94038318340303206</v>
      </c>
      <c r="AK68" s="132">
        <f t="shared" si="95"/>
        <v>0.94101483697697519</v>
      </c>
      <c r="AL68" s="132">
        <f t="shared" si="95"/>
        <v>0.94163481669040705</v>
      </c>
      <c r="AM68" s="132">
        <f t="shared" si="95"/>
        <v>0.94224334795479026</v>
      </c>
      <c r="AN68" s="132">
        <f t="shared" si="95"/>
        <v>0.94284065177885179</v>
      </c>
      <c r="AO68" s="132">
        <f t="shared" si="95"/>
        <v>0.94342694485482692</v>
      </c>
      <c r="AP68" s="132">
        <f t="shared" si="95"/>
        <v>0.94400243964301334</v>
      </c>
      <c r="AQ68" s="132">
        <f t="shared" si="95"/>
        <v>0.9445673444546675</v>
      </c>
      <c r="AR68" s="132">
        <f t="shared" si="95"/>
        <v>0.94512186353327532</v>
      </c>
      <c r="AS68" s="132">
        <f t="shared" si="95"/>
        <v>0.94566619713423039</v>
      </c>
      <c r="AT68" s="132">
        <f t="shared" si="95"/>
        <v>0.94620054160294997</v>
      </c>
      <c r="AU68" s="132">
        <f t="shared" si="95"/>
        <v>0.94672508945146017</v>
      </c>
      <c r="AV68" s="132">
        <f t="shared" si="95"/>
        <v>0.94724002943347951</v>
      </c>
      <c r="AW68" s="132">
        <f t="shared" si="95"/>
        <v>0.94774554661802979</v>
      </c>
      <c r="AX68" s="132">
        <f t="shared" si="95"/>
        <v>0.94824182246160604</v>
      </c>
      <c r="AY68" s="132">
        <f t="shared" si="95"/>
        <v>0.94872903487893001</v>
      </c>
      <c r="AZ68" s="132">
        <f t="shared" si="95"/>
        <v>0.94920735831231706</v>
      </c>
      <c r="BA68" s="132">
        <f t="shared" si="95"/>
        <v>0.94967696379968392</v>
      </c>
      <c r="BB68" s="132">
        <f t="shared" si="95"/>
        <v>0.9501380190412233</v>
      </c>
      <c r="BC68" s="132">
        <f t="shared" si="95"/>
        <v>0.95059068846477035</v>
      </c>
      <c r="BD68" s="132">
        <f t="shared" si="95"/>
        <v>0.9510351332898892</v>
      </c>
    </row>
    <row r="70" spans="1:56" x14ac:dyDescent="0.25">
      <c r="A70" s="3" t="s">
        <v>400</v>
      </c>
      <c r="B70" s="131">
        <f>B64</f>
        <v>44593</v>
      </c>
      <c r="C70" s="131">
        <f t="shared" ref="C70:M70" si="96">C64</f>
        <v>44624</v>
      </c>
      <c r="D70" s="131">
        <f t="shared" si="96"/>
        <v>44655</v>
      </c>
      <c r="E70" s="131">
        <f t="shared" si="96"/>
        <v>44686</v>
      </c>
      <c r="F70" s="131">
        <f t="shared" si="96"/>
        <v>44717</v>
      </c>
      <c r="G70" s="131">
        <f t="shared" si="96"/>
        <v>44748</v>
      </c>
      <c r="H70" s="131">
        <f t="shared" si="96"/>
        <v>44779</v>
      </c>
      <c r="I70" s="131">
        <f t="shared" si="96"/>
        <v>44810</v>
      </c>
      <c r="J70" s="131">
        <f t="shared" si="96"/>
        <v>44841</v>
      </c>
      <c r="K70" s="131">
        <f t="shared" si="96"/>
        <v>44872</v>
      </c>
      <c r="L70" s="131">
        <f t="shared" si="96"/>
        <v>44903</v>
      </c>
      <c r="M70" s="131">
        <f t="shared" si="96"/>
        <v>44934</v>
      </c>
      <c r="N70" s="131">
        <f>M70+31</f>
        <v>44965</v>
      </c>
      <c r="O70" s="131">
        <f t="shared" ref="O70:BD70" si="97">N70+31</f>
        <v>44996</v>
      </c>
      <c r="P70" s="131">
        <f t="shared" si="97"/>
        <v>45027</v>
      </c>
      <c r="Q70" s="131">
        <f t="shared" si="97"/>
        <v>45058</v>
      </c>
      <c r="R70" s="131">
        <f t="shared" si="97"/>
        <v>45089</v>
      </c>
      <c r="S70" s="131">
        <f t="shared" si="97"/>
        <v>45120</v>
      </c>
      <c r="T70" s="131">
        <f t="shared" si="97"/>
        <v>45151</v>
      </c>
      <c r="U70" s="131">
        <f t="shared" si="97"/>
        <v>45182</v>
      </c>
      <c r="V70" s="131">
        <f t="shared" si="97"/>
        <v>45213</v>
      </c>
      <c r="W70" s="131">
        <f t="shared" si="97"/>
        <v>45244</v>
      </c>
      <c r="X70" s="131">
        <f t="shared" si="97"/>
        <v>45275</v>
      </c>
      <c r="Y70" s="131">
        <f t="shared" si="97"/>
        <v>45306</v>
      </c>
      <c r="Z70" s="131">
        <f t="shared" si="97"/>
        <v>45337</v>
      </c>
      <c r="AA70" s="131">
        <f t="shared" si="97"/>
        <v>45368</v>
      </c>
      <c r="AB70" s="131">
        <f t="shared" si="97"/>
        <v>45399</v>
      </c>
      <c r="AC70" s="131">
        <f t="shared" si="97"/>
        <v>45430</v>
      </c>
      <c r="AD70" s="131">
        <f t="shared" si="97"/>
        <v>45461</v>
      </c>
      <c r="AE70" s="131">
        <f t="shared" si="97"/>
        <v>45492</v>
      </c>
      <c r="AF70" s="131">
        <f t="shared" si="97"/>
        <v>45523</v>
      </c>
      <c r="AG70" s="131">
        <f t="shared" si="97"/>
        <v>45554</v>
      </c>
      <c r="AH70" s="131">
        <f t="shared" si="97"/>
        <v>45585</v>
      </c>
      <c r="AI70" s="131">
        <f t="shared" si="97"/>
        <v>45616</v>
      </c>
      <c r="AJ70" s="131">
        <f t="shared" si="97"/>
        <v>45647</v>
      </c>
      <c r="AK70" s="131">
        <f t="shared" si="97"/>
        <v>45678</v>
      </c>
      <c r="AL70" s="131">
        <f t="shared" si="97"/>
        <v>45709</v>
      </c>
      <c r="AM70" s="131">
        <f t="shared" si="97"/>
        <v>45740</v>
      </c>
      <c r="AN70" s="131">
        <f t="shared" si="97"/>
        <v>45771</v>
      </c>
      <c r="AO70" s="131">
        <f t="shared" si="97"/>
        <v>45802</v>
      </c>
      <c r="AP70" s="131">
        <f t="shared" si="97"/>
        <v>45833</v>
      </c>
      <c r="AQ70" s="131">
        <f t="shared" si="97"/>
        <v>45864</v>
      </c>
      <c r="AR70" s="131">
        <f t="shared" si="97"/>
        <v>45895</v>
      </c>
      <c r="AS70" s="131">
        <f t="shared" si="97"/>
        <v>45926</v>
      </c>
      <c r="AT70" s="131">
        <f t="shared" si="97"/>
        <v>45957</v>
      </c>
      <c r="AU70" s="131">
        <f t="shared" si="97"/>
        <v>45988</v>
      </c>
      <c r="AV70" s="131">
        <f t="shared" si="97"/>
        <v>46019</v>
      </c>
      <c r="AW70" s="131">
        <f t="shared" si="97"/>
        <v>46050</v>
      </c>
      <c r="AX70" s="131">
        <f t="shared" si="97"/>
        <v>46081</v>
      </c>
      <c r="AY70" s="131">
        <f t="shared" si="97"/>
        <v>46112</v>
      </c>
      <c r="AZ70" s="131">
        <f t="shared" si="97"/>
        <v>46143</v>
      </c>
      <c r="BA70" s="131">
        <f t="shared" si="97"/>
        <v>46174</v>
      </c>
      <c r="BB70" s="131">
        <f t="shared" si="97"/>
        <v>46205</v>
      </c>
      <c r="BC70" s="131">
        <f t="shared" si="97"/>
        <v>46236</v>
      </c>
      <c r="BD70" s="131">
        <f t="shared" si="97"/>
        <v>46267</v>
      </c>
    </row>
    <row r="71" spans="1:56" outlineLevel="1" x14ac:dyDescent="0.25">
      <c r="A71" s="18" t="s">
        <v>248</v>
      </c>
      <c r="B71" s="119">
        <f>B66</f>
        <v>26908.333333333332</v>
      </c>
      <c r="C71" s="119">
        <f t="shared" ref="C71:M71" si="98">C66</f>
        <v>26938.333333333332</v>
      </c>
      <c r="D71" s="119">
        <f t="shared" si="98"/>
        <v>26968.783333333333</v>
      </c>
      <c r="E71" s="119">
        <f t="shared" si="98"/>
        <v>11562.356749999999</v>
      </c>
      <c r="F71" s="119">
        <f t="shared" si="98"/>
        <v>15834.522609311543</v>
      </c>
      <c r="G71" s="119">
        <f t="shared" si="98"/>
        <v>15940.599425991524</v>
      </c>
      <c r="H71" s="119">
        <f t="shared" si="98"/>
        <v>16048.638574472512</v>
      </c>
      <c r="I71" s="119">
        <f t="shared" si="98"/>
        <v>16158.676913322535</v>
      </c>
      <c r="J71" s="119">
        <f t="shared" si="98"/>
        <v>16270.752002459965</v>
      </c>
      <c r="K71" s="119">
        <f t="shared" si="98"/>
        <v>16384.902116643214</v>
      </c>
      <c r="L71" s="119">
        <f t="shared" si="98"/>
        <v>16501.166259222133</v>
      </c>
      <c r="M71" s="119">
        <f t="shared" si="98"/>
        <v>16619.584176156328</v>
      </c>
      <c r="N71" s="119">
        <f>M71*1.02</f>
        <v>16951.975859679456</v>
      </c>
      <c r="O71" s="119">
        <f t="shared" ref="O71:BD71" si="99">N71*1.02</f>
        <v>17291.015376873045</v>
      </c>
      <c r="P71" s="119">
        <f t="shared" si="99"/>
        <v>17636.835684410507</v>
      </c>
      <c r="Q71" s="119">
        <f t="shared" si="99"/>
        <v>17989.572398098717</v>
      </c>
      <c r="R71" s="119">
        <f t="shared" si="99"/>
        <v>18349.363846060693</v>
      </c>
      <c r="S71" s="119">
        <f t="shared" si="99"/>
        <v>18716.351122981905</v>
      </c>
      <c r="T71" s="119">
        <f t="shared" si="99"/>
        <v>19090.678145441543</v>
      </c>
      <c r="U71" s="119">
        <f t="shared" si="99"/>
        <v>19472.491708350375</v>
      </c>
      <c r="V71" s="119">
        <f t="shared" si="99"/>
        <v>19861.941542517383</v>
      </c>
      <c r="W71" s="119">
        <f t="shared" si="99"/>
        <v>20259.18037336773</v>
      </c>
      <c r="X71" s="119">
        <f t="shared" si="99"/>
        <v>20664.363980835085</v>
      </c>
      <c r="Y71" s="119">
        <f t="shared" si="99"/>
        <v>21077.651260451788</v>
      </c>
      <c r="Z71" s="119">
        <f t="shared" si="99"/>
        <v>21499.204285660824</v>
      </c>
      <c r="AA71" s="119">
        <f t="shared" si="99"/>
        <v>21929.188371374043</v>
      </c>
      <c r="AB71" s="119">
        <f t="shared" si="99"/>
        <v>22367.772138801523</v>
      </c>
      <c r="AC71" s="119">
        <f t="shared" si="99"/>
        <v>22815.127581577555</v>
      </c>
      <c r="AD71" s="119">
        <f t="shared" si="99"/>
        <v>23271.430133209105</v>
      </c>
      <c r="AE71" s="119">
        <f t="shared" si="99"/>
        <v>23736.858735873288</v>
      </c>
      <c r="AF71" s="119">
        <f t="shared" si="99"/>
        <v>24211.595910590753</v>
      </c>
      <c r="AG71" s="119">
        <f t="shared" si="99"/>
        <v>24695.827828802569</v>
      </c>
      <c r="AH71" s="119">
        <f t="shared" si="99"/>
        <v>25189.744385378621</v>
      </c>
      <c r="AI71" s="119">
        <f t="shared" si="99"/>
        <v>25693.539273086193</v>
      </c>
      <c r="AJ71" s="119">
        <f t="shared" si="99"/>
        <v>26207.410058547917</v>
      </c>
      <c r="AK71" s="119">
        <f t="shared" si="99"/>
        <v>26731.558259718877</v>
      </c>
      <c r="AL71" s="119">
        <f t="shared" si="99"/>
        <v>27266.189424913257</v>
      </c>
      <c r="AM71" s="119">
        <f t="shared" si="99"/>
        <v>27811.513213411523</v>
      </c>
      <c r="AN71" s="119">
        <f t="shared" si="99"/>
        <v>28367.743477679753</v>
      </c>
      <c r="AO71" s="119">
        <f t="shared" si="99"/>
        <v>28935.098347233346</v>
      </c>
      <c r="AP71" s="119">
        <f t="shared" si="99"/>
        <v>29513.800314178014</v>
      </c>
      <c r="AQ71" s="119">
        <f t="shared" si="99"/>
        <v>30104.076320461576</v>
      </c>
      <c r="AR71" s="119">
        <f t="shared" si="99"/>
        <v>30706.157846870807</v>
      </c>
      <c r="AS71" s="119">
        <f t="shared" si="99"/>
        <v>31320.281003808224</v>
      </c>
      <c r="AT71" s="119">
        <f t="shared" si="99"/>
        <v>31946.68662388439</v>
      </c>
      <c r="AU71" s="119">
        <f t="shared" si="99"/>
        <v>32585.62035636208</v>
      </c>
      <c r="AV71" s="119">
        <f t="shared" si="99"/>
        <v>33237.332763489321</v>
      </c>
      <c r="AW71" s="119">
        <f t="shared" si="99"/>
        <v>33902.079418759109</v>
      </c>
      <c r="AX71" s="119">
        <f t="shared" si="99"/>
        <v>34580.121007134294</v>
      </c>
      <c r="AY71" s="119">
        <f t="shared" si="99"/>
        <v>35271.723427276978</v>
      </c>
      <c r="AZ71" s="119">
        <f t="shared" si="99"/>
        <v>35977.157895822522</v>
      </c>
      <c r="BA71" s="119">
        <f t="shared" si="99"/>
        <v>36696.701053738972</v>
      </c>
      <c r="BB71" s="119">
        <f t="shared" si="99"/>
        <v>37430.635074813756</v>
      </c>
      <c r="BC71" s="119">
        <f t="shared" si="99"/>
        <v>38179.247776310032</v>
      </c>
      <c r="BD71" s="119">
        <f t="shared" si="99"/>
        <v>38942.832731836235</v>
      </c>
    </row>
    <row r="72" spans="1:56" outlineLevel="1" x14ac:dyDescent="0.25">
      <c r="A72" s="18" t="s">
        <v>249</v>
      </c>
      <c r="B72" s="119">
        <f>B65</f>
        <v>0</v>
      </c>
      <c r="C72" s="119">
        <f t="shared" ref="C72:M72" si="100">C65</f>
        <v>0</v>
      </c>
      <c r="D72" s="119">
        <f t="shared" si="100"/>
        <v>0</v>
      </c>
      <c r="E72" s="119">
        <f t="shared" si="100"/>
        <v>0</v>
      </c>
      <c r="F72" s="119">
        <f t="shared" si="100"/>
        <v>185589.77540307722</v>
      </c>
      <c r="G72" s="119">
        <f t="shared" si="100"/>
        <v>189301.57091113881</v>
      </c>
      <c r="H72" s="119">
        <f t="shared" si="100"/>
        <v>193087.6023293616</v>
      </c>
      <c r="I72" s="119">
        <f t="shared" si="100"/>
        <v>196949.35437594881</v>
      </c>
      <c r="J72" s="119">
        <f t="shared" si="100"/>
        <v>200888.34146346775</v>
      </c>
      <c r="K72" s="119">
        <f t="shared" si="100"/>
        <v>204906.10829273707</v>
      </c>
      <c r="L72" s="119">
        <f t="shared" si="100"/>
        <v>209004.23045859183</v>
      </c>
      <c r="M72" s="119">
        <f t="shared" si="100"/>
        <v>213184.3150677637</v>
      </c>
      <c r="N72" s="119">
        <f t="shared" ref="N72:BD72" si="101">M72*(1+$B$26)</f>
        <v>230239.06027318482</v>
      </c>
      <c r="O72" s="119">
        <f t="shared" si="101"/>
        <v>248658.18509503963</v>
      </c>
      <c r="P72" s="119">
        <f t="shared" si="101"/>
        <v>268550.83990264282</v>
      </c>
      <c r="Q72" s="119">
        <f t="shared" si="101"/>
        <v>290034.90709485428</v>
      </c>
      <c r="R72" s="119">
        <f t="shared" si="101"/>
        <v>313237.69966244267</v>
      </c>
      <c r="S72" s="119">
        <f t="shared" si="101"/>
        <v>338296.7156354381</v>
      </c>
      <c r="T72" s="119">
        <f t="shared" si="101"/>
        <v>365360.45288627315</v>
      </c>
      <c r="U72" s="119">
        <f t="shared" si="101"/>
        <v>394589.28911717504</v>
      </c>
      <c r="V72" s="119">
        <f t="shared" si="101"/>
        <v>426156.43224654905</v>
      </c>
      <c r="W72" s="119">
        <f t="shared" si="101"/>
        <v>460248.94682627299</v>
      </c>
      <c r="X72" s="119">
        <f t="shared" si="101"/>
        <v>497068.86257237487</v>
      </c>
      <c r="Y72" s="119">
        <f t="shared" si="101"/>
        <v>536834.37157816486</v>
      </c>
      <c r="Z72" s="119">
        <f t="shared" si="101"/>
        <v>579781.12130441808</v>
      </c>
      <c r="AA72" s="119">
        <f t="shared" si="101"/>
        <v>626163.61100877158</v>
      </c>
      <c r="AB72" s="119">
        <f t="shared" si="101"/>
        <v>676256.69988947338</v>
      </c>
      <c r="AC72" s="119">
        <f t="shared" si="101"/>
        <v>730357.23588063125</v>
      </c>
      <c r="AD72" s="119">
        <f t="shared" si="101"/>
        <v>788785.81475108175</v>
      </c>
      <c r="AE72" s="119">
        <f t="shared" si="101"/>
        <v>851888.67993116833</v>
      </c>
      <c r="AF72" s="119">
        <f t="shared" si="101"/>
        <v>920039.77432566183</v>
      </c>
      <c r="AG72" s="119">
        <f t="shared" si="101"/>
        <v>993642.95627171488</v>
      </c>
      <c r="AH72" s="119">
        <f t="shared" si="101"/>
        <v>1073134.3927734522</v>
      </c>
      <c r="AI72" s="119">
        <f t="shared" si="101"/>
        <v>1158985.1441953285</v>
      </c>
      <c r="AJ72" s="119">
        <f t="shared" si="101"/>
        <v>1251703.9557309549</v>
      </c>
      <c r="AK72" s="119">
        <f t="shared" si="101"/>
        <v>1351840.2721894314</v>
      </c>
      <c r="AL72" s="119">
        <f t="shared" si="101"/>
        <v>1459987.4939645859</v>
      </c>
      <c r="AM72" s="119">
        <f t="shared" si="101"/>
        <v>1576786.4934817529</v>
      </c>
      <c r="AN72" s="119">
        <f t="shared" si="101"/>
        <v>1702929.4129602932</v>
      </c>
      <c r="AO72" s="119">
        <f t="shared" si="101"/>
        <v>1839163.7659971169</v>
      </c>
      <c r="AP72" s="119">
        <f t="shared" si="101"/>
        <v>1986296.8672768865</v>
      </c>
      <c r="AQ72" s="119">
        <f t="shared" si="101"/>
        <v>2145200.6166590378</v>
      </c>
      <c r="AR72" s="119">
        <f t="shared" si="101"/>
        <v>2316816.6659917608</v>
      </c>
      <c r="AS72" s="119">
        <f t="shared" si="101"/>
        <v>2502161.9992711018</v>
      </c>
      <c r="AT72" s="119">
        <f t="shared" si="101"/>
        <v>2702334.9592127902</v>
      </c>
      <c r="AU72" s="119">
        <f t="shared" si="101"/>
        <v>2918521.7559498139</v>
      </c>
      <c r="AV72" s="119">
        <f t="shared" si="101"/>
        <v>3152003.4964257991</v>
      </c>
      <c r="AW72" s="119">
        <f t="shared" si="101"/>
        <v>3404163.7761398633</v>
      </c>
      <c r="AX72" s="119">
        <f t="shared" si="101"/>
        <v>3676496.8782310528</v>
      </c>
      <c r="AY72" s="119">
        <f t="shared" si="101"/>
        <v>3970616.6284895372</v>
      </c>
      <c r="AZ72" s="119">
        <f t="shared" si="101"/>
        <v>4288265.9587687002</v>
      </c>
      <c r="BA72" s="119">
        <f t="shared" si="101"/>
        <v>4631327.2354701962</v>
      </c>
      <c r="BB72" s="119">
        <f t="shared" si="101"/>
        <v>5001833.4143078122</v>
      </c>
      <c r="BC72" s="119">
        <f t="shared" si="101"/>
        <v>5401980.0874524377</v>
      </c>
      <c r="BD72" s="119">
        <f t="shared" si="101"/>
        <v>5834138.4944486329</v>
      </c>
    </row>
    <row r="73" spans="1:56" s="2" customFormat="1" outlineLevel="1" x14ac:dyDescent="0.25">
      <c r="A73" s="17" t="s">
        <v>401</v>
      </c>
      <c r="B73" s="121">
        <f t="shared" ref="B73:N73" si="102">-B71+B72</f>
        <v>-26908.333333333332</v>
      </c>
      <c r="C73" s="121">
        <f t="shared" si="102"/>
        <v>-26938.333333333332</v>
      </c>
      <c r="D73" s="121">
        <f t="shared" si="102"/>
        <v>-26968.783333333333</v>
      </c>
      <c r="E73" s="121">
        <f t="shared" si="102"/>
        <v>-11562.356749999999</v>
      </c>
      <c r="F73" s="121">
        <f t="shared" si="102"/>
        <v>169755.25279376569</v>
      </c>
      <c r="G73" s="121">
        <f t="shared" si="102"/>
        <v>173360.97148514728</v>
      </c>
      <c r="H73" s="121">
        <f t="shared" si="102"/>
        <v>177038.96375488909</v>
      </c>
      <c r="I73" s="121">
        <f t="shared" si="102"/>
        <v>180790.67746262628</v>
      </c>
      <c r="J73" s="121">
        <f t="shared" si="102"/>
        <v>184617.5894610078</v>
      </c>
      <c r="K73" s="121">
        <f t="shared" si="102"/>
        <v>188521.20617609387</v>
      </c>
      <c r="L73" s="121">
        <f t="shared" si="102"/>
        <v>192503.06419936969</v>
      </c>
      <c r="M73" s="121">
        <f t="shared" si="102"/>
        <v>196564.73089160738</v>
      </c>
      <c r="N73" s="121">
        <f t="shared" si="102"/>
        <v>213287.08441350536</v>
      </c>
      <c r="O73" s="121">
        <f t="shared" ref="O73:BD73" si="103">-O71+O72</f>
        <v>231367.16971816658</v>
      </c>
      <c r="P73" s="121">
        <f t="shared" si="103"/>
        <v>250914.00421823232</v>
      </c>
      <c r="Q73" s="121">
        <f t="shared" si="103"/>
        <v>272045.33469675557</v>
      </c>
      <c r="R73" s="121">
        <f t="shared" si="103"/>
        <v>294888.33581638196</v>
      </c>
      <c r="S73" s="121">
        <f t="shared" si="103"/>
        <v>319580.36451245617</v>
      </c>
      <c r="T73" s="121">
        <f t="shared" si="103"/>
        <v>346269.77474083164</v>
      </c>
      <c r="U73" s="121">
        <f t="shared" si="103"/>
        <v>375116.79740882467</v>
      </c>
      <c r="V73" s="121">
        <f t="shared" si="103"/>
        <v>406294.49070403166</v>
      </c>
      <c r="W73" s="121">
        <f t="shared" si="103"/>
        <v>439989.76645290526</v>
      </c>
      <c r="X73" s="121">
        <f t="shared" si="103"/>
        <v>476404.4985915398</v>
      </c>
      <c r="Y73" s="121">
        <f t="shared" si="103"/>
        <v>515756.7203177131</v>
      </c>
      <c r="Z73" s="121">
        <f t="shared" si="103"/>
        <v>558281.9170187572</v>
      </c>
      <c r="AA73" s="121">
        <f t="shared" si="103"/>
        <v>604234.42263739754</v>
      </c>
      <c r="AB73" s="121">
        <f t="shared" si="103"/>
        <v>653888.92775067186</v>
      </c>
      <c r="AC73" s="121">
        <f t="shared" si="103"/>
        <v>707542.10829905374</v>
      </c>
      <c r="AD73" s="121">
        <f t="shared" si="103"/>
        <v>765514.38461787265</v>
      </c>
      <c r="AE73" s="121">
        <f t="shared" si="103"/>
        <v>828151.82119529508</v>
      </c>
      <c r="AF73" s="121">
        <f t="shared" si="103"/>
        <v>895828.1784150711</v>
      </c>
      <c r="AG73" s="121">
        <f t="shared" si="103"/>
        <v>968947.12844291236</v>
      </c>
      <c r="AH73" s="121">
        <f t="shared" si="103"/>
        <v>1047944.6483880735</v>
      </c>
      <c r="AI73" s="121">
        <f t="shared" si="103"/>
        <v>1133291.6049222422</v>
      </c>
      <c r="AJ73" s="121">
        <f t="shared" si="103"/>
        <v>1225496.5456724069</v>
      </c>
      <c r="AK73" s="121">
        <f t="shared" si="103"/>
        <v>1325108.7139297125</v>
      </c>
      <c r="AL73" s="121">
        <f t="shared" si="103"/>
        <v>1432721.3045396728</v>
      </c>
      <c r="AM73" s="121">
        <f t="shared" si="103"/>
        <v>1548974.9802683415</v>
      </c>
      <c r="AN73" s="121">
        <f t="shared" si="103"/>
        <v>1674561.6694826134</v>
      </c>
      <c r="AO73" s="121">
        <f t="shared" si="103"/>
        <v>1810228.6676498835</v>
      </c>
      <c r="AP73" s="121">
        <f t="shared" si="103"/>
        <v>1956783.0669627085</v>
      </c>
      <c r="AQ73" s="121">
        <f t="shared" si="103"/>
        <v>2115096.5403385763</v>
      </c>
      <c r="AR73" s="121">
        <f t="shared" si="103"/>
        <v>2286110.50814489</v>
      </c>
      <c r="AS73" s="121">
        <f t="shared" si="103"/>
        <v>2470841.7182672936</v>
      </c>
      <c r="AT73" s="121">
        <f t="shared" si="103"/>
        <v>2670388.2725889059</v>
      </c>
      <c r="AU73" s="121">
        <f t="shared" si="103"/>
        <v>2885936.1355934516</v>
      </c>
      <c r="AV73" s="121">
        <f t="shared" si="103"/>
        <v>3118766.1636623098</v>
      </c>
      <c r="AW73" s="121">
        <f t="shared" si="103"/>
        <v>3370261.696721104</v>
      </c>
      <c r="AX73" s="121">
        <f t="shared" si="103"/>
        <v>3641916.7572239186</v>
      </c>
      <c r="AY73" s="121">
        <f t="shared" si="103"/>
        <v>3935344.9050622601</v>
      </c>
      <c r="AZ73" s="121">
        <f t="shared" si="103"/>
        <v>4252288.8008728782</v>
      </c>
      <c r="BA73" s="121">
        <f t="shared" si="103"/>
        <v>4594630.5344164576</v>
      </c>
      <c r="BB73" s="121">
        <f t="shared" si="103"/>
        <v>4964402.7792329984</v>
      </c>
      <c r="BC73" s="121">
        <f t="shared" si="103"/>
        <v>5363800.8396761278</v>
      </c>
      <c r="BD73" s="121">
        <f t="shared" si="103"/>
        <v>5795195.6617167965</v>
      </c>
    </row>
    <row r="74" spans="1:56" s="2" customFormat="1" outlineLevel="1" x14ac:dyDescent="0.25">
      <c r="A74" s="17" t="s">
        <v>402</v>
      </c>
      <c r="B74" s="121">
        <f>B73</f>
        <v>-26908.333333333332</v>
      </c>
      <c r="C74" s="121">
        <f t="shared" ref="C74:O74" si="104">B74+C73</f>
        <v>-53846.666666666664</v>
      </c>
      <c r="D74" s="121">
        <f t="shared" si="104"/>
        <v>-80815.45</v>
      </c>
      <c r="E74" s="121">
        <f t="shared" si="104"/>
        <v>-92377.806749999989</v>
      </c>
      <c r="F74" s="121">
        <f t="shared" si="104"/>
        <v>77377.446043765696</v>
      </c>
      <c r="G74" s="121">
        <f t="shared" si="104"/>
        <v>250738.41752891298</v>
      </c>
      <c r="H74" s="121">
        <f t="shared" si="104"/>
        <v>427777.3812838021</v>
      </c>
      <c r="I74" s="121">
        <f t="shared" si="104"/>
        <v>608568.05874642835</v>
      </c>
      <c r="J74" s="121">
        <f t="shared" si="104"/>
        <v>793185.64820743608</v>
      </c>
      <c r="K74" s="121">
        <f t="shared" si="104"/>
        <v>981706.85438352998</v>
      </c>
      <c r="L74" s="121">
        <f t="shared" si="104"/>
        <v>1174209.9185828997</v>
      </c>
      <c r="M74" s="121">
        <f t="shared" si="104"/>
        <v>1370774.6494745072</v>
      </c>
      <c r="N74" s="121">
        <f t="shared" si="104"/>
        <v>1584061.7338880126</v>
      </c>
      <c r="O74" s="121">
        <f t="shared" si="104"/>
        <v>1815428.9036061792</v>
      </c>
      <c r="P74" s="121">
        <f t="shared" ref="P74:BD74" si="105">O74+P73</f>
        <v>2066342.9078244115</v>
      </c>
      <c r="Q74" s="121">
        <f t="shared" si="105"/>
        <v>2338388.2425211673</v>
      </c>
      <c r="R74" s="121">
        <f t="shared" si="105"/>
        <v>2633276.5783375492</v>
      </c>
      <c r="S74" s="121">
        <f t="shared" si="105"/>
        <v>2952856.9428500053</v>
      </c>
      <c r="T74" s="121">
        <f t="shared" si="105"/>
        <v>3299126.7175908368</v>
      </c>
      <c r="U74" s="121">
        <f t="shared" si="105"/>
        <v>3674243.5149996616</v>
      </c>
      <c r="V74" s="121">
        <f t="shared" si="105"/>
        <v>4080538.0057036933</v>
      </c>
      <c r="W74" s="121">
        <f t="shared" si="105"/>
        <v>4520527.772156598</v>
      </c>
      <c r="X74" s="121">
        <f t="shared" si="105"/>
        <v>4996932.2707481375</v>
      </c>
      <c r="Y74" s="121">
        <f t="shared" si="105"/>
        <v>5512688.9910658505</v>
      </c>
      <c r="Z74" s="121">
        <f t="shared" si="105"/>
        <v>6070970.9080846077</v>
      </c>
      <c r="AA74" s="121">
        <f t="shared" si="105"/>
        <v>6675205.3307220051</v>
      </c>
      <c r="AB74" s="121">
        <f t="shared" si="105"/>
        <v>7329094.2584726773</v>
      </c>
      <c r="AC74" s="121">
        <f t="shared" si="105"/>
        <v>8036636.3667717315</v>
      </c>
      <c r="AD74" s="121">
        <f t="shared" si="105"/>
        <v>8802150.7513896041</v>
      </c>
      <c r="AE74" s="121">
        <f t="shared" si="105"/>
        <v>9630302.5725848991</v>
      </c>
      <c r="AF74" s="121">
        <f t="shared" si="105"/>
        <v>10526130.75099997</v>
      </c>
      <c r="AG74" s="121">
        <f t="shared" si="105"/>
        <v>11495077.879442882</v>
      </c>
      <c r="AH74" s="121">
        <f t="shared" si="105"/>
        <v>12543022.527830955</v>
      </c>
      <c r="AI74" s="121">
        <f t="shared" si="105"/>
        <v>13676314.132753197</v>
      </c>
      <c r="AJ74" s="121">
        <f t="shared" si="105"/>
        <v>14901810.678425604</v>
      </c>
      <c r="AK74" s="121">
        <f t="shared" si="105"/>
        <v>16226919.392355317</v>
      </c>
      <c r="AL74" s="121">
        <f t="shared" si="105"/>
        <v>17659640.696894988</v>
      </c>
      <c r="AM74" s="121">
        <f t="shared" si="105"/>
        <v>19208615.677163329</v>
      </c>
      <c r="AN74" s="121">
        <f t="shared" si="105"/>
        <v>20883177.346645944</v>
      </c>
      <c r="AO74" s="121">
        <f t="shared" si="105"/>
        <v>22693406.014295828</v>
      </c>
      <c r="AP74" s="121">
        <f t="shared" si="105"/>
        <v>24650189.081258535</v>
      </c>
      <c r="AQ74" s="121">
        <f t="shared" si="105"/>
        <v>26765285.621597111</v>
      </c>
      <c r="AR74" s="121">
        <f t="shared" si="105"/>
        <v>29051396.129742</v>
      </c>
      <c r="AS74" s="121">
        <f t="shared" si="105"/>
        <v>31522237.848009296</v>
      </c>
      <c r="AT74" s="121">
        <f t="shared" si="105"/>
        <v>34192626.120598204</v>
      </c>
      <c r="AU74" s="121">
        <f t="shared" si="105"/>
        <v>37078562.256191656</v>
      </c>
      <c r="AV74" s="121">
        <f t="shared" si="105"/>
        <v>40197328.419853963</v>
      </c>
      <c r="AW74" s="121">
        <f t="shared" si="105"/>
        <v>43567590.11657507</v>
      </c>
      <c r="AX74" s="121">
        <f t="shared" si="105"/>
        <v>47209506.873798989</v>
      </c>
      <c r="AY74" s="121">
        <f t="shared" si="105"/>
        <v>51144851.778861247</v>
      </c>
      <c r="AZ74" s="121">
        <f t="shared" si="105"/>
        <v>55397140.579734124</v>
      </c>
      <c r="BA74" s="121">
        <f t="shared" si="105"/>
        <v>59991771.114150584</v>
      </c>
      <c r="BB74" s="121">
        <f t="shared" si="105"/>
        <v>64956173.893383585</v>
      </c>
      <c r="BC74" s="121">
        <f t="shared" si="105"/>
        <v>70319974.733059719</v>
      </c>
      <c r="BD74" s="121">
        <f t="shared" si="105"/>
        <v>76115170.394776523</v>
      </c>
    </row>
    <row r="75" spans="1:56" outlineLevel="1" x14ac:dyDescent="0.25"/>
    <row r="76" spans="1:56" outlineLevel="1" x14ac:dyDescent="0.25">
      <c r="A76" s="17" t="s">
        <v>410</v>
      </c>
      <c r="B76" s="232">
        <f>COUNTIF(B73:Y73,"&lt;=0")</f>
        <v>4</v>
      </c>
    </row>
    <row r="77" spans="1:56" outlineLevel="1" x14ac:dyDescent="0.25">
      <c r="A77" s="17" t="s">
        <v>409</v>
      </c>
      <c r="B77" s="232">
        <f>COUNTIF(B74:Y74,"&lt;=0")</f>
        <v>4</v>
      </c>
    </row>
  </sheetData>
  <dataConsolidate/>
  <mergeCells count="23">
    <mergeCell ref="B10:C10"/>
    <mergeCell ref="I10:J10"/>
    <mergeCell ref="I11:J11"/>
    <mergeCell ref="B12:C12"/>
    <mergeCell ref="I12:J12"/>
    <mergeCell ref="B13:C13"/>
    <mergeCell ref="I13:J13"/>
    <mergeCell ref="B11:C11"/>
    <mergeCell ref="B3:C3"/>
    <mergeCell ref="G3:H3"/>
    <mergeCell ref="B7:C7"/>
    <mergeCell ref="I7:J7"/>
    <mergeCell ref="I3:J3"/>
    <mergeCell ref="B4:C4"/>
    <mergeCell ref="I4:J4"/>
    <mergeCell ref="B5:C5"/>
    <mergeCell ref="I5:J5"/>
    <mergeCell ref="B8:C8"/>
    <mergeCell ref="I8:J8"/>
    <mergeCell ref="B9:C9"/>
    <mergeCell ref="B6:C6"/>
    <mergeCell ref="I6:J6"/>
    <mergeCell ref="I9:J9"/>
  </mergeCells>
  <conditionalFormatting sqref="B68:BD6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3:BD73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:BD7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6">
    <cfRule type="colorScale" priority="3">
      <colorScale>
        <cfvo type="min"/>
        <cfvo type="max"/>
        <color rgb="FF63BE7B"/>
        <color rgb="FFFFEF9C"/>
      </colorScale>
    </cfRule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7">
    <cfRule type="colorScale" priority="1">
      <colorScale>
        <cfvo type="min"/>
        <cfvo type="max"/>
        <color rgb="FF63BE7B"/>
        <color rgb="FFFFEF9C"/>
      </colorScale>
    </cfRule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26</vt:i4>
      </vt:variant>
      <vt:variant>
        <vt:lpstr>Plages nommées</vt:lpstr>
      </vt:variant>
      <vt:variant>
        <vt:i4>1</vt:i4>
      </vt:variant>
    </vt:vector>
  </HeadingPairs>
  <TitlesOfParts>
    <vt:vector size="27" baseType="lpstr">
      <vt:lpstr>Cover Page</vt:lpstr>
      <vt:lpstr>Payroll 2020</vt:lpstr>
      <vt:lpstr>Payroll 2020-2024</vt:lpstr>
      <vt:lpstr>TURNOVER</vt:lpstr>
      <vt:lpstr>White label websites (WLW)</vt:lpstr>
      <vt:lpstr>WLW Side revenues</vt:lpstr>
      <vt:lpstr>Advertising</vt:lpstr>
      <vt:lpstr>Sponsoring marketplace</vt:lpstr>
      <vt:lpstr>Digital goods marketplace</vt:lpstr>
      <vt:lpstr>Media rights marketplace</vt:lpstr>
      <vt:lpstr>Titrisation</vt:lpstr>
      <vt:lpstr>Cash to digital</vt:lpstr>
      <vt:lpstr>Operating Expenses 2020</vt:lpstr>
      <vt:lpstr>Operating Expenses 2020-2024</vt:lpstr>
      <vt:lpstr>Income Statement 2020</vt:lpstr>
      <vt:lpstr>Income Statement 2020-2024</vt:lpstr>
      <vt:lpstr>Balance Sheet 2020</vt:lpstr>
      <vt:lpstr>Balance Sheet 2020-2024</vt:lpstr>
      <vt:lpstr>Cash Flow Statement 2020</vt:lpstr>
      <vt:lpstr>Cash Flow Statement 2020-2024</vt:lpstr>
      <vt:lpstr>WEBSITES AUDIENCE</vt:lpstr>
      <vt:lpstr>Financial Ratio Analysis</vt:lpstr>
      <vt:lpstr>KPI Dashboard</vt:lpstr>
      <vt:lpstr>KPI Tracking data</vt:lpstr>
      <vt:lpstr>Spending dashboard</vt:lpstr>
      <vt:lpstr>Spending tracking data</vt:lpstr>
      <vt:lpstr>'Cover Page'!Zone_d_impression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Projection Template</dc:title>
  <dc:creator>CFI</dc:creator>
  <cp:lastModifiedBy>Francois Hermand</cp:lastModifiedBy>
  <dcterms:created xsi:type="dcterms:W3CDTF">2018-05-28T18:52:19Z</dcterms:created>
  <dcterms:modified xsi:type="dcterms:W3CDTF">2020-05-09T09:38:35Z</dcterms:modified>
</cp:coreProperties>
</file>